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13_ncr:1_{4ACB4756-2EA8-461E-9E68-BF345CFAD238}" xr6:coauthVersionLast="47" xr6:coauthVersionMax="47" xr10:uidLastSave="{00000000-0000-0000-0000-000000000000}"/>
  <bookViews>
    <workbookView xWindow="8880" yWindow="720" windowWidth="19170" windowHeight="1294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1'!$B$3:$BP$602</definedName>
    <definedName name="_xlnm._FilterDatabase" localSheetId="1" hidden="1">'СКЛАД 2'!$B$3:$I$3</definedName>
    <definedName name="_xlnm.Print_Area" localSheetId="0">'СКЛАД 1'!$B$2:$K$511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<sst xmlns="http://schemas.openxmlformats.org/spreadsheetml/2006/main" count="2978" uniqueCount="415">
  <si>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</si>
  <si>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</si>
  <si>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</si>
  <si>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</si>
  <si>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</si>
  <si>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</si>
  <si>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</si>
  <si>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</si>
  <si>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</si>
  <si>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</si>
  <si>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</si>
  <si>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</si>
  <si>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</si>
  <si>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</si>
  <si>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</si>
  <si>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</si>
  <si>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</si>
  <si>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</si>
  <si>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</si>
  <si>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</si>
  <si>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</si>
  <si>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</si>
  <si>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</si>
  <si>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</si>
  <si>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</si>
  <si>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</si>
  <si>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</si>
  <si>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</si>
  <si>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</si>
  <si>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</si>
  <si>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</si>
  <si>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</si>
  <si>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</si>
  <si>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</si>
  <si>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</si>
  <si>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</si>
  <si>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</si>
  <si>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</si>
  <si>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</si>
  <si>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</si>
  <si>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</si>
  <si>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</si>
  <si>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</si>
  <si>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</si>
  <si>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</si>
  <si>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</si>
  <si>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</si>
  <si>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</si>
  <si>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</si>
  <si>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</si>
  <si>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</si>
  <si>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</si>
  <si>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</si>
  <si>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</si>
  <si>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</si>
  <si>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</si>
  <si>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</si>
  <si>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</si>
  <si>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</si>
  <si>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</si>
  <si>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</si>
  <si>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</si>
  <si>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</si>
  <si>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</si>
  <si>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</si>
  <si>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</si>
  <si>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</si>
  <si>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</si>
  <si>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</si>
  <si>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</si>
  <si>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</si>
  <si>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</si>
  <si>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</si>
  <si>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</si>
  <si>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</si>
  <si>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</si>
  <si>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</si>
  <si>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</si>
  <si>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</si>
  <si>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</si>
  <si>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</si>
  <si>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</si>
  <si>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</si>
  <si>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</si>
  <si>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</si>
  <si>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</si>
  <si>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</si>
  <si>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</si>
  <si>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</si>
  <si>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</si>
  <si>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</si>
  <si>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</si>
  <si>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</si>
  <si>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</si>
  <si>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</si>
  <si>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</si>
  <si>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</si>
  <si>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</si>
  <si>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</si>
  <si>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</si>
  <si>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</si>
  <si>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</si>
  <si>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</si>
  <si>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</si>
  <si>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</si>
  <si>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</si>
  <si>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</si>
  <si>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</si>
  <si>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</si>
  <si>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</si>
  <si>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</si>
  <si>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</si>
  <si>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</si>
  <si>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</si>
  <si>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</si>
  <si>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</si>
  <si>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</si>
  <si>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</si>
  <si>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</si>
  <si>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</si>
  <si>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</si>
  <si>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</si>
  <si>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</si>
  <si>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</si>
  <si>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</si>
  <si>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</si>
  <si>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</si>
  <si>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</si>
  <si>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</si>
  <si>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</si>
  <si>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</si>
  <si>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</si>
  <si>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</si>
  <si>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</si>
  <si>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</si>
  <si>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</si>
  <si>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</si>
  <si>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</si>
  <si>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</si>
  <si>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</si>
  <si>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</si>
  <si>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</si>
  <si>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</si>
  <si>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</si>
  <si>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</si>
  <si>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</si>
  <si>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</si>
  <si>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</si>
  <si>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</si>
  <si>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</si>
  <si>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</si>
  <si>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</si>
  <si>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</si>
  <si>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</si>
  <si>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</si>
  <si>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</si>
  <si>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</si>
  <si>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</si>
  <si>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</si>
  <si>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</si>
  <si>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</si>
  <si>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</si>
  <si>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</si>
  <si>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</si>
  <si>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</si>
  <si>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</si>
  <si>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</si>
  <si>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</si>
  <si>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</si>
  <si>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</si>
  <si>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</si>
  <si>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</si>
  <si>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</si>
  <si>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</si>
  <si>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</si>
  <si>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</si>
  <si>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</si>
  <si>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</si>
  <si>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</si>
  <si>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</si>
  <si>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</si>
  <si>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</si>
  <si>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</si>
  <si>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</si>
  <si>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</si>
  <si>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</si>
  <si>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</si>
  <si>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</si>
  <si>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</si>
  <si>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</si>
  <si>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</si>
  <si>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</si>
  <si>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</si>
  <si>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</si>
  <si>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</si>
  <si>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</si>
  <si>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</si>
  <si>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</si>
  <si>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</si>
  <si>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</si>
  <si>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</si>
  <si>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</si>
  <si>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</si>
  <si>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</si>
  <si>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</si>
  <si>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</si>
  <si>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</si>
  <si>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</si>
  <si>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</si>
  <si>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</si>
  <si>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</si>
  <si>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</si>
  <si>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</si>
  <si>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</si>
  <si>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</si>
  <si>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</si>
  <si>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</si>
  <si>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</si>
  <si>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</si>
  <si>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</si>
  <si>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</si>
  <si>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</si>
  <si>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</si>
  <si>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</si>
  <si>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</si>
  <si>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</si>
  <si>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</si>
  <si>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</si>
  <si>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</si>
  <si>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</si>
  <si>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</si>
  <si>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</si>
  <si>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</si>
  <si>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</si>
  <si>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</si>
  <si>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</si>
  <si>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</si>
  <si>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</si>
  <si>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</si>
  <si>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</si>
  <si>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</si>
  <si>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</si>
  <si>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</si>
  <si>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</si>
  <si>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</si>
  <si>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</si>
  <si>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</si>
  <si>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</si>
  <si>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</si>
  <si>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</si>
  <si>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</si>
  <si>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</si>
  <si>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</si>
  <si>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</si>
  <si>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</si>
  <si>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</si>
  <si>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</si>
  <si>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</si>
  <si>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</si>
  <si>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</si>
  <si>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</si>
  <si>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</si>
  <si>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</si>
  <si>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</si>
  <si>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</si>
  <si>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</si>
  <si>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</si>
  <si>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</si>
  <si>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</si>
  <si>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</si>
  <si>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</si>
  <si>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</si>
  <si>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</si>
  <si>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</si>
  <si>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</si>
  <si>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</si>
  <si>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</si>
  <si>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</si>
  <si>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</si>
  <si>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</si>
  <si>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</si>
  <si>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</si>
  <si>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</si>
  <si>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</si>
  <si>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</si>
  <si>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</si>
  <si>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</si>
  <si>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</si>
  <si>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</si>
  <si>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</si>
  <si>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</si>
  <si>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</si>
  <si>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</si>
  <si>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</si>
  <si>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</si>
  <si>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</si>
  <si>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</si>
  <si>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</si>
  <si>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</si>
  <si>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</si>
  <si>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</si>
  <si>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</si>
  <si>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</si>
  <si>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</si>
  <si>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</si>
  <si>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</si>
  <si>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</si>
  <si>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</si>
  <si>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</si>
  <si>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</si>
  <si>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</si>
  <si>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</si>
  <si>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</si>
  <si>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</si>
  <si>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</si>
  <si>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</si>
  <si>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</si>
  <si>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</si>
  <si>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</si>
  <si>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</si>
  <si>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</si>
  <si>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</si>
  <si>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</si>
  <si>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</si>
  <si>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</si>
  <si>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</si>
  <si>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</si>
  <si>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</si>
  <si>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</si>
  <si>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</si>
  <si>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</si>
  <si>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</si>
  <si>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</si>
  <si>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</si>
  <si>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</si>
  <si>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</si>
  <si>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</si>
  <si>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</si>
  <si>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</si>
  <si>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</si>
  <si>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</si>
  <si>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</si>
  <si>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</si>
  <si>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</si>
  <si>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</si>
  <si>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</si>
  <si>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</si>
  <si>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</si>
  <si>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</si>
  <si>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</si>
  <si>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</si>
  <si>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</si>
  <si>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</si>
  <si>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</si>
  <si>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</si>
  <si>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</si>
  <si>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</si>
  <si>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</si>
  <si>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</si>
  <si>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</si>
  <si>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</si>
  <si>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</si>
  <si>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</si>
  <si>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</si>
  <si>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</si>
  <si>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</si>
  <si>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</si>
  <si>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</si>
  <si>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</si>
  <si>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</si>
  <si>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</si>
  <si>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</si>
  <si>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</si>
  <si>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</si>
  <si>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</si>
  <si>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</si>
  <si>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</si>
  <si>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</si>
  <si>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</si>
  <si>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</si>
  <si>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</si>
  <si>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</si>
  <si>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</si>
  <si>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</si>
  <si>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</si>
  <si>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</si>
  <si>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</si>
  <si>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</si>
  <si>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</si>
  <si>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</si>
  <si>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</si>
  <si>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</si>
  <si>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</si>
  <si>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</si>
  <si>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</si>
  <si>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</si>
  <si>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</si>
  <si>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</si>
  <si>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</si>
  <si>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</si>
  <si>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</si>
  <si>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2,52м.</t>
  </si>
  <si>
    <t>ТУ 14-1-4058-06,отж., 2гп,обт.</t>
  </si>
  <si>
    <t>есть 1 шт. 3.33м.</t>
  </si>
  <si>
    <t>есть короткая 1,71м./2,33м.</t>
  </si>
  <si>
    <t>0,92м./2,62м.</t>
  </si>
  <si>
    <t>ТУ 14-1-950-86, 2ГП-ТО, ГОСТ 7417-75, ГП В, h11,РТТ</t>
  </si>
  <si>
    <t>Склад завода</t>
  </si>
  <si>
    <t>0.251</t>
  </si>
  <si>
    <t>426х10</t>
  </si>
  <si>
    <t>РФ</t>
  </si>
  <si>
    <t>2 склад</t>
  </si>
  <si>
    <t>х/д, ГОСТ 9941-2022, ГОСТ 9941-81 ,Травление внутренней и наружной поверхности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</si>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</sst>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0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2" fillId="5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09"/>
  <sheetViews>
    <sheetView tabSelected="1" zoomScale="70" zoomScaleNormal="70" workbookViewId="0">
      <pane ySplit="3" topLeftCell="A4" activePane="bottomLeft" state="frozen"/>
      <selection pane="bottomLeft" activeCell="F20" sqref="F20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5.140625" style="1" customWidth="1"/>
    <col min="6" max="6" width="54.57031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6.75" customHeight="1" x14ac:dyDescent="0.25">
      <c r="A1" s="138" t="s">
        <v>413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68" ht="63.75" customHeight="1" x14ac:dyDescent="0.25">
      <c r="A2" s="136" t="s">
        <v>414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68" s="2" customFormat="1" ht="63" x14ac:dyDescent="0.25">
      <c r="B3" s="34" t="s">
        <v>8</v>
      </c>
      <c r="C3" s="50" t="s">
        <v>18</v>
      </c>
      <c r="D3" s="35" t="s">
        <v>23</v>
      </c>
      <c r="E3" s="35" t="s">
        <v>336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1" t="s">
        <v>57</v>
      </c>
    </row>
    <row r="4" spans="1:68" s="2" customFormat="1" ht="21" x14ac:dyDescent="0.3">
      <c r="B4" s="26" t="s">
        <v>217</v>
      </c>
      <c r="C4" s="50" t="s">
        <v>55</v>
      </c>
      <c r="D4" s="35" t="s">
        <v>294</v>
      </c>
      <c r="E4" s="34">
        <v>565</v>
      </c>
      <c r="F4" s="35" t="s">
        <v>293</v>
      </c>
      <c r="G4" s="36">
        <v>0.69599999999999995</v>
      </c>
      <c r="H4" s="34"/>
      <c r="I4" s="60">
        <v>430000</v>
      </c>
      <c r="J4" s="29" t="s">
        <v>56</v>
      </c>
      <c r="K4" s="79"/>
      <c r="L4" s="8"/>
    </row>
    <row r="5" spans="1:68" s="2" customFormat="1" ht="21" x14ac:dyDescent="0.3">
      <c r="B5" s="26" t="s">
        <v>217</v>
      </c>
      <c r="C5" s="50" t="s">
        <v>55</v>
      </c>
      <c r="D5" s="35" t="s">
        <v>218</v>
      </c>
      <c r="E5" s="34">
        <v>560</v>
      </c>
      <c r="F5" s="35" t="s">
        <v>293</v>
      </c>
      <c r="G5" s="36">
        <v>0.67400000000000004</v>
      </c>
      <c r="H5" s="34"/>
      <c r="I5" s="60">
        <v>430000</v>
      </c>
      <c r="J5" s="29" t="s">
        <v>56</v>
      </c>
      <c r="K5" s="79"/>
      <c r="L5" s="8"/>
    </row>
    <row r="6" spans="1:68" s="2" customFormat="1" ht="21" x14ac:dyDescent="0.3">
      <c r="B6" s="26" t="s">
        <v>217</v>
      </c>
      <c r="C6" s="50" t="s">
        <v>55</v>
      </c>
      <c r="D6" s="35" t="s">
        <v>295</v>
      </c>
      <c r="E6" s="34">
        <v>565</v>
      </c>
      <c r="F6" s="35" t="s">
        <v>293</v>
      </c>
      <c r="G6" s="36">
        <v>0.67700000000000005</v>
      </c>
      <c r="H6" s="34"/>
      <c r="I6" s="60">
        <v>430000</v>
      </c>
      <c r="J6" s="29" t="s">
        <v>56</v>
      </c>
      <c r="K6" s="79"/>
      <c r="L6" s="8"/>
    </row>
    <row r="7" spans="1:68" s="2" customFormat="1" ht="21" x14ac:dyDescent="0.3">
      <c r="B7" s="26" t="s">
        <v>217</v>
      </c>
      <c r="C7" s="50" t="s">
        <v>55</v>
      </c>
      <c r="D7" s="35" t="s">
        <v>218</v>
      </c>
      <c r="E7" s="34">
        <v>590</v>
      </c>
      <c r="F7" s="35" t="s">
        <v>293</v>
      </c>
      <c r="G7" s="36">
        <v>0.70399999999999996</v>
      </c>
      <c r="H7" s="34"/>
      <c r="I7" s="60">
        <v>430000</v>
      </c>
      <c r="J7" s="29" t="s">
        <v>56</v>
      </c>
      <c r="K7" s="79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390</v>
      </c>
      <c r="D10" s="27" t="s">
        <v>393</v>
      </c>
      <c r="E10" s="27"/>
      <c r="F10" s="27"/>
      <c r="G10" s="30">
        <v>2.1</v>
      </c>
      <c r="H10" s="28" t="s">
        <v>392</v>
      </c>
      <c r="I10" s="38">
        <v>1700000</v>
      </c>
      <c r="J10" s="26" t="s">
        <v>56</v>
      </c>
      <c r="K10" s="12"/>
      <c r="L10" s="10"/>
    </row>
    <row r="11" spans="1:68" s="3" customFormat="1" ht="19.5" customHeight="1" x14ac:dyDescent="0.3">
      <c r="B11" s="63" t="s">
        <v>10</v>
      </c>
      <c r="C11" s="64" t="s">
        <v>184</v>
      </c>
      <c r="D11" s="64" t="s">
        <v>409</v>
      </c>
      <c r="E11" s="64"/>
      <c r="F11" s="135" t="s">
        <v>412</v>
      </c>
      <c r="G11" s="78">
        <v>3.3</v>
      </c>
      <c r="H11" s="73" t="s">
        <v>410</v>
      </c>
      <c r="I11" s="67">
        <v>1700000</v>
      </c>
      <c r="J11" s="63" t="s">
        <v>411</v>
      </c>
      <c r="K11" s="12"/>
      <c r="L11" s="10"/>
    </row>
    <row r="12" spans="1:68" s="2" customFormat="1" ht="19.5" customHeight="1" x14ac:dyDescent="0.3">
      <c r="B12" s="26" t="s">
        <v>25</v>
      </c>
      <c r="C12" s="41" t="s">
        <v>119</v>
      </c>
      <c r="D12" s="27" t="s">
        <v>120</v>
      </c>
      <c r="E12" s="27"/>
      <c r="F12" s="27" t="s">
        <v>141</v>
      </c>
      <c r="G12" s="30">
        <v>0.24099999999999999</v>
      </c>
      <c r="H12" s="28" t="s">
        <v>111</v>
      </c>
      <c r="I12" s="38">
        <v>1500000</v>
      </c>
      <c r="J12" s="26" t="s">
        <v>56</v>
      </c>
      <c r="K12" s="14"/>
      <c r="L12" s="10"/>
      <c r="M12" s="3"/>
      <c r="N12" s="3"/>
      <c r="O12" s="3"/>
      <c r="P12" s="3"/>
      <c r="Q12" s="3"/>
      <c r="R12" s="3"/>
    </row>
    <row r="13" spans="1:68" s="2" customFormat="1" ht="19.5" customHeight="1" x14ac:dyDescent="0.3">
      <c r="B13" s="26" t="s">
        <v>25</v>
      </c>
      <c r="C13" s="41" t="s">
        <v>110</v>
      </c>
      <c r="D13" s="27" t="s">
        <v>107</v>
      </c>
      <c r="E13" s="27"/>
      <c r="F13" s="27" t="s">
        <v>142</v>
      </c>
      <c r="G13" s="30">
        <v>0.88900000000000001</v>
      </c>
      <c r="H13" s="28" t="s">
        <v>111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110</v>
      </c>
      <c r="D14" s="27" t="s">
        <v>108</v>
      </c>
      <c r="E14" s="27"/>
      <c r="F14" s="27" t="s">
        <v>141</v>
      </c>
      <c r="G14" s="30">
        <v>0.32600000000000001</v>
      </c>
      <c r="H14" s="28" t="s">
        <v>111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26" t="s">
        <v>25</v>
      </c>
      <c r="C15" s="41" t="s">
        <v>110</v>
      </c>
      <c r="D15" s="27" t="s">
        <v>109</v>
      </c>
      <c r="E15" s="27"/>
      <c r="F15" s="27" t="s">
        <v>141</v>
      </c>
      <c r="G15" s="30">
        <v>0.45200000000000001</v>
      </c>
      <c r="H15" s="28" t="s">
        <v>111</v>
      </c>
      <c r="I15" s="38">
        <v>1500000</v>
      </c>
      <c r="J15" s="2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3" t="s">
        <v>9</v>
      </c>
      <c r="C16" s="85" t="s">
        <v>326</v>
      </c>
      <c r="D16" s="64">
        <v>25</v>
      </c>
      <c r="E16" s="64"/>
      <c r="F16" s="64"/>
      <c r="G16" s="78">
        <v>5.3999999999999999E-2</v>
      </c>
      <c r="H16" s="73"/>
      <c r="I16" s="67">
        <v>810000</v>
      </c>
      <c r="J16" s="63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3" t="s">
        <v>9</v>
      </c>
      <c r="C17" s="85" t="s">
        <v>326</v>
      </c>
      <c r="D17" s="64">
        <v>32</v>
      </c>
      <c r="E17" s="64"/>
      <c r="F17" s="64"/>
      <c r="G17" s="78">
        <v>6.2E-2</v>
      </c>
      <c r="H17" s="73"/>
      <c r="I17" s="67">
        <v>760000</v>
      </c>
      <c r="J17" s="63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3" t="s">
        <v>9</v>
      </c>
      <c r="C18" s="85" t="s">
        <v>326</v>
      </c>
      <c r="D18" s="64">
        <v>36</v>
      </c>
      <c r="E18" s="64"/>
      <c r="F18" s="64"/>
      <c r="G18" s="78">
        <v>6.3E-2</v>
      </c>
      <c r="H18" s="73"/>
      <c r="I18" s="67">
        <v>750000</v>
      </c>
      <c r="J18" s="63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3" t="s">
        <v>9</v>
      </c>
      <c r="C19" s="85" t="s">
        <v>326</v>
      </c>
      <c r="D19" s="64">
        <v>38</v>
      </c>
      <c r="E19" s="64"/>
      <c r="F19" s="64"/>
      <c r="G19" s="78">
        <v>7.0000000000000007E-2</v>
      </c>
      <c r="H19" s="73"/>
      <c r="I19" s="67">
        <v>760000</v>
      </c>
      <c r="J19" s="63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3" t="s">
        <v>9</v>
      </c>
      <c r="C20" s="85" t="s">
        <v>326</v>
      </c>
      <c r="D20" s="64">
        <v>40</v>
      </c>
      <c r="E20" s="64"/>
      <c r="F20" s="64"/>
      <c r="G20" s="78">
        <v>8.4000000000000005E-2</v>
      </c>
      <c r="H20" s="73"/>
      <c r="I20" s="67">
        <v>750000</v>
      </c>
      <c r="J20" s="63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3" t="s">
        <v>9</v>
      </c>
      <c r="C21" s="85" t="s">
        <v>326</v>
      </c>
      <c r="D21" s="64">
        <v>45</v>
      </c>
      <c r="E21" s="64"/>
      <c r="F21" s="64"/>
      <c r="G21" s="78">
        <v>0.06</v>
      </c>
      <c r="H21" s="73"/>
      <c r="I21" s="67">
        <v>750000</v>
      </c>
      <c r="J21" s="63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3" t="s">
        <v>9</v>
      </c>
      <c r="C22" s="85" t="s">
        <v>326</v>
      </c>
      <c r="D22" s="64">
        <v>50</v>
      </c>
      <c r="E22" s="64"/>
      <c r="F22" s="64"/>
      <c r="G22" s="78">
        <v>0.05</v>
      </c>
      <c r="H22" s="73"/>
      <c r="I22" s="67">
        <v>760000</v>
      </c>
      <c r="J22" s="63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3" t="s">
        <v>9</v>
      </c>
      <c r="C23" s="85" t="s">
        <v>326</v>
      </c>
      <c r="D23" s="64">
        <v>56</v>
      </c>
      <c r="E23" s="64"/>
      <c r="F23" s="64"/>
      <c r="G23" s="78">
        <v>7.9000000000000001E-2</v>
      </c>
      <c r="H23" s="73"/>
      <c r="I23" s="67">
        <v>750000</v>
      </c>
      <c r="J23" s="63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3" t="s">
        <v>9</v>
      </c>
      <c r="C24" s="85" t="s">
        <v>326</v>
      </c>
      <c r="D24" s="64">
        <v>65</v>
      </c>
      <c r="E24" s="64"/>
      <c r="F24" s="64"/>
      <c r="G24" s="78">
        <v>0.109</v>
      </c>
      <c r="H24" s="73"/>
      <c r="I24" s="67">
        <v>750000</v>
      </c>
      <c r="J24" s="63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3" t="s">
        <v>9</v>
      </c>
      <c r="C25" s="85" t="s">
        <v>326</v>
      </c>
      <c r="D25" s="64">
        <v>70</v>
      </c>
      <c r="E25" s="64"/>
      <c r="F25" s="64"/>
      <c r="G25" s="78">
        <v>0.108</v>
      </c>
      <c r="H25" s="73"/>
      <c r="I25" s="67">
        <v>750000</v>
      </c>
      <c r="J25" s="63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3" t="s">
        <v>9</v>
      </c>
      <c r="C26" s="85" t="s">
        <v>326</v>
      </c>
      <c r="D26" s="64">
        <v>80</v>
      </c>
      <c r="E26" s="64"/>
      <c r="F26" s="64"/>
      <c r="G26" s="78">
        <v>0.14399999999999999</v>
      </c>
      <c r="H26" s="73"/>
      <c r="I26" s="67">
        <v>750000</v>
      </c>
      <c r="J26" s="63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3" t="s">
        <v>9</v>
      </c>
      <c r="C27" s="85" t="s">
        <v>326</v>
      </c>
      <c r="D27" s="64">
        <v>90</v>
      </c>
      <c r="E27" s="64"/>
      <c r="F27" s="64"/>
      <c r="G27" s="78">
        <v>0.17599999999999999</v>
      </c>
      <c r="H27" s="73"/>
      <c r="I27" s="67">
        <v>750000</v>
      </c>
      <c r="J27" s="63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63" t="s">
        <v>9</v>
      </c>
      <c r="C28" s="85" t="s">
        <v>326</v>
      </c>
      <c r="D28" s="64">
        <v>100</v>
      </c>
      <c r="E28" s="64"/>
      <c r="F28" s="64"/>
      <c r="G28" s="78">
        <v>0.32400000000000001</v>
      </c>
      <c r="H28" s="73"/>
      <c r="I28" s="67">
        <v>750000</v>
      </c>
      <c r="J28" s="63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205</v>
      </c>
      <c r="C29" s="24" t="s">
        <v>170</v>
      </c>
      <c r="D29" s="27">
        <v>225</v>
      </c>
      <c r="E29" s="27"/>
      <c r="F29" s="27"/>
      <c r="G29" s="30">
        <v>1</v>
      </c>
      <c r="H29" s="28" t="s">
        <v>206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205</v>
      </c>
      <c r="C30" s="24" t="s">
        <v>170</v>
      </c>
      <c r="D30" s="27">
        <v>230</v>
      </c>
      <c r="E30" s="27"/>
      <c r="F30" s="27"/>
      <c r="G30" s="30">
        <v>1.1180000000000001</v>
      </c>
      <c r="H30" s="28" t="s">
        <v>206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205</v>
      </c>
      <c r="C31" s="24" t="s">
        <v>170</v>
      </c>
      <c r="D31" s="27">
        <v>245</v>
      </c>
      <c r="E31" s="27"/>
      <c r="F31" s="27"/>
      <c r="G31" s="30">
        <v>1.175</v>
      </c>
      <c r="H31" s="28" t="s">
        <v>206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26" t="s">
        <v>205</v>
      </c>
      <c r="C32" s="24" t="s">
        <v>170</v>
      </c>
      <c r="D32" s="24">
        <v>250</v>
      </c>
      <c r="E32" s="24"/>
      <c r="F32" s="55"/>
      <c r="G32" s="30">
        <v>1.0649999999999999</v>
      </c>
      <c r="H32" s="28" t="s">
        <v>206</v>
      </c>
      <c r="I32" s="39">
        <v>645000</v>
      </c>
      <c r="J32" s="29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3" t="s">
        <v>9</v>
      </c>
      <c r="C33" s="71" t="s">
        <v>327</v>
      </c>
      <c r="D33" s="71">
        <v>10</v>
      </c>
      <c r="E33" s="71"/>
      <c r="F33" s="108"/>
      <c r="G33" s="78">
        <v>4.7E-2</v>
      </c>
      <c r="H33" s="73"/>
      <c r="I33" s="72">
        <v>900000</v>
      </c>
      <c r="J33" s="63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3" t="s">
        <v>9</v>
      </c>
      <c r="C34" s="71" t="s">
        <v>327</v>
      </c>
      <c r="D34" s="71">
        <v>18</v>
      </c>
      <c r="E34" s="71"/>
      <c r="F34" s="108"/>
      <c r="G34" s="78">
        <v>4.8000000000000001E-2</v>
      </c>
      <c r="H34" s="73"/>
      <c r="I34" s="72">
        <v>900000</v>
      </c>
      <c r="J34" s="63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3" t="s">
        <v>9</v>
      </c>
      <c r="C35" s="71" t="s">
        <v>327</v>
      </c>
      <c r="D35" s="71">
        <v>20</v>
      </c>
      <c r="E35" s="71"/>
      <c r="F35" s="108"/>
      <c r="G35" s="78">
        <v>4.9000000000000002E-2</v>
      </c>
      <c r="H35" s="73"/>
      <c r="I35" s="72">
        <v>900000</v>
      </c>
      <c r="J35" s="63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3" t="s">
        <v>9</v>
      </c>
      <c r="C36" s="71" t="s">
        <v>327</v>
      </c>
      <c r="D36" s="71">
        <v>25</v>
      </c>
      <c r="E36" s="71"/>
      <c r="F36" s="108"/>
      <c r="G36" s="78">
        <v>5.6000000000000001E-2</v>
      </c>
      <c r="H36" s="73"/>
      <c r="I36" s="72">
        <v>900000</v>
      </c>
      <c r="J36" s="63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3" t="s">
        <v>9</v>
      </c>
      <c r="C37" s="71" t="s">
        <v>327</v>
      </c>
      <c r="D37" s="71">
        <v>30</v>
      </c>
      <c r="E37" s="71"/>
      <c r="F37" s="108"/>
      <c r="G37" s="78">
        <v>2.5000000000000001E-2</v>
      </c>
      <c r="H37" s="73"/>
      <c r="I37" s="72">
        <v>900000</v>
      </c>
      <c r="J37" s="63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3" t="s">
        <v>9</v>
      </c>
      <c r="C38" s="71" t="s">
        <v>327</v>
      </c>
      <c r="D38" s="71">
        <v>36</v>
      </c>
      <c r="E38" s="71"/>
      <c r="F38" s="108"/>
      <c r="G38" s="78">
        <v>8.2000000000000003E-2</v>
      </c>
      <c r="H38" s="73"/>
      <c r="I38" s="72">
        <v>870000</v>
      </c>
      <c r="J38" s="63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3" t="s">
        <v>9</v>
      </c>
      <c r="C39" s="71" t="s">
        <v>327</v>
      </c>
      <c r="D39" s="71">
        <v>40</v>
      </c>
      <c r="E39" s="71"/>
      <c r="F39" s="108"/>
      <c r="G39" s="78">
        <v>7.9000000000000001E-2</v>
      </c>
      <c r="H39" s="73"/>
      <c r="I39" s="72">
        <v>850000</v>
      </c>
      <c r="J39" s="63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3" t="s">
        <v>9</v>
      </c>
      <c r="C40" s="71" t="s">
        <v>327</v>
      </c>
      <c r="D40" s="71">
        <v>45</v>
      </c>
      <c r="E40" s="71"/>
      <c r="F40" s="108"/>
      <c r="G40" s="78">
        <v>0.13700000000000001</v>
      </c>
      <c r="H40" s="73"/>
      <c r="I40" s="72">
        <v>870000</v>
      </c>
      <c r="J40" s="63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3" t="s">
        <v>9</v>
      </c>
      <c r="C41" s="71" t="s">
        <v>327</v>
      </c>
      <c r="D41" s="71">
        <v>56</v>
      </c>
      <c r="E41" s="71"/>
      <c r="F41" s="108"/>
      <c r="G41" s="78">
        <v>0.104</v>
      </c>
      <c r="H41" s="73"/>
      <c r="I41" s="72">
        <v>870000</v>
      </c>
      <c r="J41" s="63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3" t="s">
        <v>9</v>
      </c>
      <c r="C42" s="71" t="s">
        <v>327</v>
      </c>
      <c r="D42" s="71">
        <v>60</v>
      </c>
      <c r="E42" s="71"/>
      <c r="F42" s="108"/>
      <c r="G42" s="78">
        <v>9.9000000000000005E-2</v>
      </c>
      <c r="H42" s="73"/>
      <c r="I42" s="72">
        <v>860000</v>
      </c>
      <c r="J42" s="63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3" t="s">
        <v>9</v>
      </c>
      <c r="C43" s="71" t="s">
        <v>327</v>
      </c>
      <c r="D43" s="71">
        <v>65</v>
      </c>
      <c r="E43" s="71"/>
      <c r="F43" s="108"/>
      <c r="G43" s="78">
        <v>0.115</v>
      </c>
      <c r="H43" s="73"/>
      <c r="I43" s="72">
        <v>860000</v>
      </c>
      <c r="J43" s="63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3" t="s">
        <v>9</v>
      </c>
      <c r="C44" s="71" t="s">
        <v>327</v>
      </c>
      <c r="D44" s="71">
        <v>70</v>
      </c>
      <c r="E44" s="71"/>
      <c r="F44" s="108"/>
      <c r="G44" s="78">
        <v>0.13700000000000001</v>
      </c>
      <c r="H44" s="73"/>
      <c r="I44" s="72">
        <v>840000</v>
      </c>
      <c r="J44" s="63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3" t="s">
        <v>9</v>
      </c>
      <c r="C45" s="71" t="s">
        <v>327</v>
      </c>
      <c r="D45" s="71">
        <v>75</v>
      </c>
      <c r="E45" s="71"/>
      <c r="F45" s="108"/>
      <c r="G45" s="78">
        <v>0.123</v>
      </c>
      <c r="H45" s="73"/>
      <c r="I45" s="72">
        <v>870000</v>
      </c>
      <c r="J45" s="63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3" t="s">
        <v>9</v>
      </c>
      <c r="C46" s="71" t="s">
        <v>327</v>
      </c>
      <c r="D46" s="71">
        <v>85</v>
      </c>
      <c r="E46" s="71"/>
      <c r="F46" s="108"/>
      <c r="G46" s="78">
        <v>0.20599999999999999</v>
      </c>
      <c r="H46" s="73"/>
      <c r="I46" s="72">
        <v>850000</v>
      </c>
      <c r="J46" s="63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3" t="s">
        <v>9</v>
      </c>
      <c r="C47" s="71" t="s">
        <v>327</v>
      </c>
      <c r="D47" s="71">
        <v>90</v>
      </c>
      <c r="E47" s="71"/>
      <c r="F47" s="108"/>
      <c r="G47" s="78">
        <v>0.21199999999999999</v>
      </c>
      <c r="H47" s="73"/>
      <c r="I47" s="72">
        <v>850000</v>
      </c>
      <c r="J47" s="63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3" t="s">
        <v>9</v>
      </c>
      <c r="C48" s="71" t="s">
        <v>327</v>
      </c>
      <c r="D48" s="71">
        <v>100</v>
      </c>
      <c r="E48" s="71"/>
      <c r="F48" s="108"/>
      <c r="G48" s="78" t="s">
        <v>408</v>
      </c>
      <c r="H48" s="73"/>
      <c r="I48" s="72">
        <v>840000</v>
      </c>
      <c r="J48" s="63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3" t="s">
        <v>9</v>
      </c>
      <c r="C49" s="85" t="s">
        <v>277</v>
      </c>
      <c r="D49" s="71">
        <v>25</v>
      </c>
      <c r="E49" s="71"/>
      <c r="F49" s="64" t="s">
        <v>267</v>
      </c>
      <c r="G49" s="78">
        <v>1.2999999999999999E-2</v>
      </c>
      <c r="H49" s="73"/>
      <c r="I49" s="72">
        <v>1250000</v>
      </c>
      <c r="J49" s="63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3" t="s">
        <v>9</v>
      </c>
      <c r="C50" s="85" t="s">
        <v>277</v>
      </c>
      <c r="D50" s="71">
        <v>30</v>
      </c>
      <c r="E50" s="71"/>
      <c r="F50" s="64" t="s">
        <v>267</v>
      </c>
      <c r="G50" s="78">
        <v>2.5999999999999999E-2</v>
      </c>
      <c r="H50" s="73"/>
      <c r="I50" s="67">
        <v>1100000</v>
      </c>
      <c r="J50" s="63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2" customFormat="1" ht="19.5" customHeight="1" x14ac:dyDescent="0.3">
      <c r="B51" s="63" t="s">
        <v>9</v>
      </c>
      <c r="C51" s="85" t="s">
        <v>277</v>
      </c>
      <c r="D51" s="71">
        <v>36</v>
      </c>
      <c r="E51" s="71"/>
      <c r="F51" s="64" t="s">
        <v>267</v>
      </c>
      <c r="G51" s="78">
        <v>6.6000000000000003E-2</v>
      </c>
      <c r="H51" s="73"/>
      <c r="I51" s="67">
        <v>1100000</v>
      </c>
      <c r="J51" s="63" t="s">
        <v>56</v>
      </c>
      <c r="K51" s="14"/>
      <c r="L51" s="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2:68" s="74" customFormat="1" ht="19.5" customHeight="1" x14ac:dyDescent="0.3">
      <c r="B52" s="63" t="s">
        <v>9</v>
      </c>
      <c r="C52" s="85" t="s">
        <v>277</v>
      </c>
      <c r="D52" s="64">
        <v>38</v>
      </c>
      <c r="E52" s="64"/>
      <c r="F52" s="64" t="s">
        <v>267</v>
      </c>
      <c r="G52" s="78">
        <v>0.42</v>
      </c>
      <c r="H52" s="73" t="s">
        <v>58</v>
      </c>
      <c r="I52" s="67">
        <v>1100000</v>
      </c>
      <c r="J52" s="63" t="s">
        <v>56</v>
      </c>
      <c r="K52" s="54"/>
      <c r="L52" s="109"/>
      <c r="M52" s="2"/>
      <c r="N52" s="2"/>
      <c r="O52" s="2"/>
      <c r="P52" s="2"/>
      <c r="Q52" s="2"/>
      <c r="R52" s="2"/>
      <c r="S52" s="3"/>
      <c r="T52" s="3"/>
      <c r="U52" s="3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</row>
    <row r="53" spans="2:68" s="74" customFormat="1" ht="19.5" customHeight="1" x14ac:dyDescent="0.3">
      <c r="B53" s="63" t="s">
        <v>9</v>
      </c>
      <c r="C53" s="85" t="s">
        <v>277</v>
      </c>
      <c r="D53" s="64">
        <v>40</v>
      </c>
      <c r="E53" s="64"/>
      <c r="F53" s="64" t="s">
        <v>267</v>
      </c>
      <c r="G53" s="78">
        <v>8.3000000000000004E-2</v>
      </c>
      <c r="H53" s="73"/>
      <c r="I53" s="67">
        <v>1100000</v>
      </c>
      <c r="J53" s="63" t="s">
        <v>56</v>
      </c>
      <c r="K53" s="54"/>
      <c r="L53" s="109"/>
      <c r="M53" s="2"/>
      <c r="N53" s="2"/>
      <c r="O53" s="2"/>
      <c r="P53" s="2"/>
      <c r="Q53" s="2"/>
      <c r="R53" s="2"/>
      <c r="S53" s="3"/>
      <c r="T53" s="3"/>
      <c r="U53" s="3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</row>
    <row r="54" spans="2:68" s="74" customFormat="1" ht="19.5" customHeight="1" x14ac:dyDescent="0.3">
      <c r="B54" s="63" t="s">
        <v>9</v>
      </c>
      <c r="C54" s="85" t="s">
        <v>277</v>
      </c>
      <c r="D54" s="64">
        <v>50</v>
      </c>
      <c r="E54" s="64"/>
      <c r="F54" s="64" t="s">
        <v>267</v>
      </c>
      <c r="G54" s="78">
        <v>0.06</v>
      </c>
      <c r="H54" s="73"/>
      <c r="I54" s="67">
        <v>1100000</v>
      </c>
      <c r="J54" s="63" t="s">
        <v>56</v>
      </c>
      <c r="K54" s="54"/>
      <c r="L54" s="109"/>
      <c r="M54" s="2"/>
      <c r="N54" s="2"/>
      <c r="O54" s="2"/>
      <c r="P54" s="2"/>
      <c r="Q54" s="2"/>
      <c r="R54" s="2"/>
      <c r="S54" s="3"/>
      <c r="T54" s="3"/>
      <c r="U54" s="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</row>
    <row r="55" spans="2:68" s="74" customFormat="1" ht="19.5" customHeight="1" x14ac:dyDescent="0.3">
      <c r="B55" s="63" t="s">
        <v>9</v>
      </c>
      <c r="C55" s="85" t="s">
        <v>277</v>
      </c>
      <c r="D55" s="64">
        <v>56</v>
      </c>
      <c r="E55" s="64"/>
      <c r="F55" s="64" t="s">
        <v>267</v>
      </c>
      <c r="G55" s="78">
        <v>8.3000000000000004E-2</v>
      </c>
      <c r="H55" s="73"/>
      <c r="I55" s="67">
        <v>1100000</v>
      </c>
      <c r="J55" s="63" t="s">
        <v>56</v>
      </c>
      <c r="K55" s="54"/>
      <c r="L55" s="109"/>
      <c r="M55" s="2"/>
      <c r="N55" s="2"/>
      <c r="O55" s="2"/>
      <c r="P55" s="2"/>
      <c r="Q55" s="2"/>
      <c r="R55" s="2"/>
      <c r="S55" s="3"/>
      <c r="T55" s="3"/>
      <c r="U55" s="3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</row>
    <row r="56" spans="2:68" s="74" customFormat="1" ht="19.5" customHeight="1" x14ac:dyDescent="0.3">
      <c r="B56" s="63" t="s">
        <v>9</v>
      </c>
      <c r="C56" s="85" t="s">
        <v>277</v>
      </c>
      <c r="D56" s="64">
        <v>60</v>
      </c>
      <c r="E56" s="64"/>
      <c r="F56" s="64" t="s">
        <v>273</v>
      </c>
      <c r="G56" s="78">
        <v>7.88</v>
      </c>
      <c r="H56" s="73" t="s">
        <v>62</v>
      </c>
      <c r="I56" s="67">
        <v>1100000</v>
      </c>
      <c r="J56" s="63" t="s">
        <v>56</v>
      </c>
      <c r="K56" s="54"/>
      <c r="L56" s="109"/>
      <c r="M56" s="2"/>
      <c r="N56" s="2"/>
      <c r="O56" s="2"/>
      <c r="P56" s="2"/>
      <c r="Q56" s="2"/>
      <c r="R56" s="2"/>
      <c r="S56" s="3"/>
      <c r="T56" s="3"/>
      <c r="U56" s="3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</row>
    <row r="57" spans="2:68" s="74" customFormat="1" ht="19.5" customHeight="1" x14ac:dyDescent="0.3">
      <c r="B57" s="63" t="s">
        <v>9</v>
      </c>
      <c r="C57" s="85" t="s">
        <v>277</v>
      </c>
      <c r="D57" s="64">
        <v>70</v>
      </c>
      <c r="E57" s="64"/>
      <c r="F57" s="64" t="s">
        <v>273</v>
      </c>
      <c r="G57" s="78">
        <v>7.3</v>
      </c>
      <c r="H57" s="73" t="s">
        <v>62</v>
      </c>
      <c r="I57" s="67">
        <v>1100000</v>
      </c>
      <c r="J57" s="63" t="s">
        <v>56</v>
      </c>
      <c r="K57" s="54"/>
      <c r="L57" s="109"/>
      <c r="M57" s="2"/>
      <c r="N57" s="2"/>
      <c r="O57" s="2"/>
      <c r="P57" s="2"/>
      <c r="Q57" s="2"/>
      <c r="R57" s="2"/>
      <c r="S57" s="3"/>
      <c r="T57" s="3"/>
      <c r="U57" s="3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</row>
    <row r="58" spans="2:68" s="74" customFormat="1" ht="19.5" customHeight="1" x14ac:dyDescent="0.3">
      <c r="B58" s="63" t="s">
        <v>9</v>
      </c>
      <c r="C58" s="85" t="s">
        <v>277</v>
      </c>
      <c r="D58" s="64">
        <v>80</v>
      </c>
      <c r="E58" s="64"/>
      <c r="F58" s="64" t="s">
        <v>273</v>
      </c>
      <c r="G58" s="78">
        <v>7.9569999999999999</v>
      </c>
      <c r="H58" s="73" t="s">
        <v>62</v>
      </c>
      <c r="I58" s="67">
        <v>1100000</v>
      </c>
      <c r="J58" s="63" t="s">
        <v>56</v>
      </c>
      <c r="K58" s="54"/>
      <c r="L58" s="109"/>
      <c r="M58" s="2"/>
      <c r="N58" s="2"/>
      <c r="O58" s="2"/>
      <c r="P58" s="2"/>
      <c r="Q58" s="2"/>
      <c r="R58" s="2"/>
      <c r="S58" s="3"/>
      <c r="T58" s="3"/>
      <c r="U58" s="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</row>
    <row r="59" spans="2:68" s="74" customFormat="1" ht="19.5" customHeight="1" x14ac:dyDescent="0.3">
      <c r="B59" s="63" t="s">
        <v>9</v>
      </c>
      <c r="C59" s="85" t="s">
        <v>277</v>
      </c>
      <c r="D59" s="64">
        <v>100</v>
      </c>
      <c r="E59" s="64"/>
      <c r="F59" s="64" t="s">
        <v>273</v>
      </c>
      <c r="G59" s="78">
        <v>4.1890000000000001</v>
      </c>
      <c r="H59" s="73" t="s">
        <v>62</v>
      </c>
      <c r="I59" s="67">
        <v>1100000</v>
      </c>
      <c r="J59" s="63" t="s">
        <v>56</v>
      </c>
      <c r="K59" s="54"/>
      <c r="L59" s="109"/>
      <c r="M59" s="2"/>
      <c r="N59" s="2"/>
      <c r="O59" s="2"/>
      <c r="P59" s="2"/>
      <c r="Q59" s="2"/>
      <c r="R59" s="2"/>
      <c r="S59" s="3"/>
      <c r="T59" s="3"/>
      <c r="U59" s="3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</row>
    <row r="60" spans="2:68" s="74" customFormat="1" ht="19.5" customHeight="1" x14ac:dyDescent="0.3">
      <c r="B60" s="63" t="s">
        <v>9</v>
      </c>
      <c r="C60" s="85" t="s">
        <v>277</v>
      </c>
      <c r="D60" s="64">
        <v>110</v>
      </c>
      <c r="E60" s="64"/>
      <c r="F60" s="64" t="s">
        <v>273</v>
      </c>
      <c r="G60" s="78">
        <v>8.0709999999999997</v>
      </c>
      <c r="H60" s="73" t="s">
        <v>62</v>
      </c>
      <c r="I60" s="67">
        <v>1100000</v>
      </c>
      <c r="J60" s="63" t="s">
        <v>56</v>
      </c>
      <c r="K60" s="54"/>
      <c r="L60" s="109"/>
      <c r="M60" s="2"/>
      <c r="N60" s="2"/>
      <c r="O60" s="2"/>
      <c r="P60" s="2"/>
      <c r="Q60" s="2"/>
      <c r="R60" s="2"/>
      <c r="S60" s="3"/>
      <c r="T60" s="3"/>
      <c r="U60" s="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</row>
    <row r="61" spans="2:68" s="74" customFormat="1" ht="19.5" customHeight="1" x14ac:dyDescent="0.3">
      <c r="B61" s="63" t="s">
        <v>9</v>
      </c>
      <c r="C61" s="85" t="s">
        <v>277</v>
      </c>
      <c r="D61" s="64">
        <v>120</v>
      </c>
      <c r="E61" s="64"/>
      <c r="F61" s="64" t="s">
        <v>273</v>
      </c>
      <c r="G61" s="78">
        <v>4.0110000000000001</v>
      </c>
      <c r="H61" s="73" t="s">
        <v>62</v>
      </c>
      <c r="I61" s="67">
        <v>1100000</v>
      </c>
      <c r="J61" s="63" t="s">
        <v>56</v>
      </c>
      <c r="K61" s="54"/>
      <c r="L61" s="109"/>
      <c r="M61" s="2"/>
      <c r="N61" s="2"/>
      <c r="O61" s="2"/>
      <c r="P61" s="2"/>
      <c r="Q61" s="2"/>
      <c r="R61" s="2"/>
      <c r="S61" s="3"/>
      <c r="T61" s="3"/>
      <c r="U61" s="3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</row>
    <row r="62" spans="2:68" s="74" customFormat="1" ht="19.5" customHeight="1" x14ac:dyDescent="0.3">
      <c r="B62" s="63" t="s">
        <v>9</v>
      </c>
      <c r="C62" s="85" t="s">
        <v>277</v>
      </c>
      <c r="D62" s="64">
        <v>130</v>
      </c>
      <c r="E62" s="64"/>
      <c r="F62" s="64" t="s">
        <v>273</v>
      </c>
      <c r="G62" s="78">
        <v>3.8050000000000002</v>
      </c>
      <c r="H62" s="73" t="s">
        <v>62</v>
      </c>
      <c r="I62" s="67">
        <v>1100000</v>
      </c>
      <c r="J62" s="63" t="s">
        <v>56</v>
      </c>
      <c r="K62" s="54"/>
      <c r="L62" s="109"/>
      <c r="M62" s="2"/>
      <c r="N62" s="2"/>
      <c r="O62" s="2"/>
      <c r="P62" s="2"/>
      <c r="Q62" s="2"/>
      <c r="R62" s="2"/>
      <c r="S62" s="3"/>
      <c r="T62" s="3"/>
      <c r="U62" s="3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</row>
    <row r="63" spans="2:68" s="74" customFormat="1" ht="19.5" customHeight="1" x14ac:dyDescent="0.3">
      <c r="B63" s="63" t="s">
        <v>9</v>
      </c>
      <c r="C63" s="85" t="s">
        <v>277</v>
      </c>
      <c r="D63" s="64">
        <v>140</v>
      </c>
      <c r="E63" s="64"/>
      <c r="F63" s="64" t="s">
        <v>273</v>
      </c>
      <c r="G63" s="78">
        <v>3.6930000000000001</v>
      </c>
      <c r="H63" s="73" t="s">
        <v>62</v>
      </c>
      <c r="I63" s="67">
        <v>1100000</v>
      </c>
      <c r="J63" s="63" t="s">
        <v>56</v>
      </c>
      <c r="K63" s="54"/>
      <c r="L63" s="109"/>
      <c r="M63" s="2"/>
      <c r="N63" s="2"/>
      <c r="O63" s="2"/>
      <c r="P63" s="2"/>
      <c r="Q63" s="2"/>
      <c r="R63" s="2"/>
      <c r="S63" s="3"/>
      <c r="T63" s="3"/>
      <c r="U63" s="3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</row>
    <row r="64" spans="2:68" s="74" customFormat="1" ht="19.5" customHeight="1" x14ac:dyDescent="0.3">
      <c r="B64" s="63" t="s">
        <v>9</v>
      </c>
      <c r="C64" s="85" t="s">
        <v>277</v>
      </c>
      <c r="D64" s="64">
        <v>150</v>
      </c>
      <c r="E64" s="64"/>
      <c r="F64" s="64" t="s">
        <v>273</v>
      </c>
      <c r="G64" s="78">
        <v>3.9</v>
      </c>
      <c r="H64" s="73" t="s">
        <v>62</v>
      </c>
      <c r="I64" s="67">
        <v>1100000</v>
      </c>
      <c r="J64" s="63" t="s">
        <v>56</v>
      </c>
      <c r="K64" s="54"/>
      <c r="L64" s="109"/>
      <c r="M64" s="2"/>
      <c r="N64" s="2"/>
      <c r="O64" s="2"/>
      <c r="P64" s="2"/>
      <c r="Q64" s="2"/>
      <c r="R64" s="2"/>
      <c r="S64" s="3"/>
      <c r="T64" s="3"/>
      <c r="U64" s="3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</row>
    <row r="65" spans="2:68" s="74" customFormat="1" ht="19.5" customHeight="1" x14ac:dyDescent="0.3">
      <c r="B65" s="63" t="s">
        <v>9</v>
      </c>
      <c r="C65" s="85" t="s">
        <v>277</v>
      </c>
      <c r="D65" s="64">
        <v>160</v>
      </c>
      <c r="E65" s="64"/>
      <c r="F65" s="64" t="s">
        <v>273</v>
      </c>
      <c r="G65" s="78">
        <v>3.9470000000000001</v>
      </c>
      <c r="H65" s="73" t="s">
        <v>62</v>
      </c>
      <c r="I65" s="67">
        <v>1100000</v>
      </c>
      <c r="J65" s="63" t="s">
        <v>56</v>
      </c>
      <c r="K65" s="54"/>
      <c r="L65" s="109"/>
      <c r="M65" s="2"/>
      <c r="N65" s="2"/>
      <c r="O65" s="2"/>
      <c r="P65" s="2"/>
      <c r="Q65" s="2"/>
      <c r="R65" s="2"/>
      <c r="S65" s="3"/>
      <c r="T65" s="3"/>
      <c r="U65" s="3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</row>
    <row r="66" spans="2:68" s="74" customFormat="1" ht="19.5" customHeight="1" x14ac:dyDescent="0.3">
      <c r="B66" s="63" t="s">
        <v>9</v>
      </c>
      <c r="C66" s="85" t="s">
        <v>277</v>
      </c>
      <c r="D66" s="64">
        <v>170</v>
      </c>
      <c r="E66" s="64"/>
      <c r="F66" s="64" t="s">
        <v>273</v>
      </c>
      <c r="G66" s="78">
        <v>3.673</v>
      </c>
      <c r="H66" s="73" t="s">
        <v>62</v>
      </c>
      <c r="I66" s="67">
        <v>1100000</v>
      </c>
      <c r="J66" s="63" t="s">
        <v>56</v>
      </c>
      <c r="K66" s="54"/>
      <c r="L66" s="109"/>
      <c r="M66" s="2"/>
      <c r="N66" s="2"/>
      <c r="O66" s="2"/>
      <c r="P66" s="2"/>
      <c r="Q66" s="2"/>
      <c r="R66" s="2"/>
      <c r="S66" s="3"/>
      <c r="T66" s="3"/>
      <c r="U66" s="3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</row>
    <row r="67" spans="2:68" s="74" customFormat="1" ht="19.5" customHeight="1" x14ac:dyDescent="0.3">
      <c r="B67" s="63" t="s">
        <v>9</v>
      </c>
      <c r="C67" s="85" t="s">
        <v>277</v>
      </c>
      <c r="D67" s="64">
        <v>180</v>
      </c>
      <c r="E67" s="64"/>
      <c r="F67" s="64" t="s">
        <v>273</v>
      </c>
      <c r="G67" s="78">
        <v>3.9969999999999999</v>
      </c>
      <c r="H67" s="73" t="s">
        <v>62</v>
      </c>
      <c r="I67" s="67">
        <v>1100000</v>
      </c>
      <c r="J67" s="63" t="s">
        <v>56</v>
      </c>
      <c r="K67" s="54"/>
      <c r="L67" s="109"/>
      <c r="M67" s="2"/>
      <c r="N67" s="2"/>
      <c r="O67" s="2"/>
      <c r="P67" s="2"/>
      <c r="Q67" s="2"/>
      <c r="R67" s="2"/>
      <c r="S67" s="3"/>
      <c r="T67" s="3"/>
      <c r="U67" s="3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</row>
    <row r="68" spans="2:68" s="74" customFormat="1" ht="19.5" customHeight="1" x14ac:dyDescent="0.3">
      <c r="B68" s="63" t="s">
        <v>9</v>
      </c>
      <c r="C68" s="85" t="s">
        <v>277</v>
      </c>
      <c r="D68" s="64">
        <v>200</v>
      </c>
      <c r="E68" s="64"/>
      <c r="F68" s="64" t="s">
        <v>273</v>
      </c>
      <c r="G68" s="78">
        <v>3.919</v>
      </c>
      <c r="H68" s="73" t="s">
        <v>62</v>
      </c>
      <c r="I68" s="67">
        <v>1100000</v>
      </c>
      <c r="J68" s="63" t="s">
        <v>56</v>
      </c>
      <c r="K68" s="54"/>
      <c r="L68" s="109"/>
      <c r="M68" s="2"/>
      <c r="N68" s="2"/>
      <c r="O68" s="2"/>
      <c r="P68" s="2"/>
      <c r="Q68" s="2"/>
      <c r="R68" s="2"/>
      <c r="S68" s="3"/>
      <c r="T68" s="3"/>
      <c r="U68" s="3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</row>
    <row r="69" spans="2:68" s="74" customFormat="1" ht="19.5" customHeight="1" x14ac:dyDescent="0.3">
      <c r="B69" s="63" t="s">
        <v>9</v>
      </c>
      <c r="C69" s="85" t="s">
        <v>277</v>
      </c>
      <c r="D69" s="64">
        <v>220</v>
      </c>
      <c r="E69" s="64"/>
      <c r="F69" s="64" t="s">
        <v>273</v>
      </c>
      <c r="G69" s="78">
        <v>4.1890000000000001</v>
      </c>
      <c r="H69" s="73" t="s">
        <v>62</v>
      </c>
      <c r="I69" s="67">
        <v>1100000</v>
      </c>
      <c r="J69" s="63" t="s">
        <v>56</v>
      </c>
      <c r="K69" s="54"/>
      <c r="L69" s="109"/>
      <c r="M69" s="2"/>
      <c r="N69" s="2"/>
      <c r="O69" s="2"/>
      <c r="P69" s="2"/>
      <c r="Q69" s="2"/>
      <c r="R69" s="2"/>
      <c r="S69" s="3"/>
      <c r="T69" s="3"/>
      <c r="U69" s="3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</row>
    <row r="70" spans="2:68" s="74" customFormat="1" ht="19.5" customHeight="1" x14ac:dyDescent="0.3">
      <c r="B70" s="63" t="s">
        <v>9</v>
      </c>
      <c r="C70" s="85" t="s">
        <v>260</v>
      </c>
      <c r="D70" s="64">
        <v>45</v>
      </c>
      <c r="E70" s="64"/>
      <c r="F70" s="64" t="s">
        <v>273</v>
      </c>
      <c r="G70" s="78">
        <v>0.39200000000000002</v>
      </c>
      <c r="H70" s="73" t="s">
        <v>58</v>
      </c>
      <c r="I70" s="67">
        <v>1100000</v>
      </c>
      <c r="J70" s="63" t="s">
        <v>56</v>
      </c>
      <c r="K70" s="54"/>
      <c r="L70" s="8"/>
      <c r="M70" s="2"/>
      <c r="N70" s="2"/>
      <c r="O70" s="2"/>
      <c r="P70" s="2"/>
      <c r="Q70" s="2"/>
      <c r="R70" s="2"/>
      <c r="S70" s="3"/>
      <c r="T70" s="3"/>
      <c r="U70" s="3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</row>
    <row r="71" spans="2:68" s="74" customFormat="1" ht="20.25" customHeight="1" x14ac:dyDescent="0.3">
      <c r="B71" s="63" t="s">
        <v>9</v>
      </c>
      <c r="C71" s="85" t="s">
        <v>260</v>
      </c>
      <c r="D71" s="64">
        <v>50</v>
      </c>
      <c r="E71" s="64"/>
      <c r="F71" s="64" t="s">
        <v>273</v>
      </c>
      <c r="G71" s="78">
        <v>0.33600000000000002</v>
      </c>
      <c r="H71" s="73" t="s">
        <v>58</v>
      </c>
      <c r="I71" s="67">
        <v>1100000</v>
      </c>
      <c r="J71" s="63" t="s">
        <v>56</v>
      </c>
      <c r="K71" s="54"/>
      <c r="L71" s="8"/>
      <c r="M71" s="2"/>
      <c r="N71" s="2"/>
      <c r="O71" s="2"/>
      <c r="P71" s="2"/>
      <c r="Q71" s="2"/>
      <c r="R71" s="2"/>
      <c r="S71" s="3"/>
      <c r="T71" s="3"/>
      <c r="U71" s="3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</row>
    <row r="72" spans="2:68" s="74" customFormat="1" ht="21.75" customHeight="1" x14ac:dyDescent="0.3">
      <c r="B72" s="63" t="s">
        <v>9</v>
      </c>
      <c r="C72" s="85" t="s">
        <v>279</v>
      </c>
      <c r="D72" s="64">
        <v>12</v>
      </c>
      <c r="E72" s="63" t="s">
        <v>371</v>
      </c>
      <c r="F72" s="64"/>
      <c r="G72" s="78">
        <v>3.7999999999999999E-2</v>
      </c>
      <c r="H72" s="73"/>
      <c r="I72" s="67">
        <v>1100000</v>
      </c>
      <c r="J72" s="63" t="s">
        <v>56</v>
      </c>
      <c r="K72" s="54"/>
      <c r="L72" s="8"/>
      <c r="M72" s="2"/>
      <c r="N72" s="2"/>
      <c r="O72" s="2"/>
      <c r="P72" s="2"/>
      <c r="Q72" s="2"/>
      <c r="R72" s="2"/>
      <c r="S72" s="3"/>
      <c r="T72" s="3"/>
      <c r="U72" s="3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</row>
    <row r="73" spans="2:68" s="74" customFormat="1" ht="20.25" customHeight="1" x14ac:dyDescent="0.3">
      <c r="B73" s="63" t="s">
        <v>9</v>
      </c>
      <c r="C73" s="85" t="s">
        <v>279</v>
      </c>
      <c r="D73" s="64">
        <v>14</v>
      </c>
      <c r="E73" s="63" t="s">
        <v>371</v>
      </c>
      <c r="F73" s="64"/>
      <c r="G73" s="78">
        <v>2.5000000000000001E-2</v>
      </c>
      <c r="H73" s="73"/>
      <c r="I73" s="67">
        <v>1100000</v>
      </c>
      <c r="J73" s="63" t="s">
        <v>56</v>
      </c>
      <c r="K73" s="54"/>
      <c r="L73" s="8"/>
      <c r="M73" s="2"/>
      <c r="N73" s="2"/>
      <c r="O73" s="2"/>
      <c r="P73" s="2"/>
      <c r="Q73" s="2"/>
      <c r="R73" s="2"/>
      <c r="S73" s="3"/>
      <c r="T73" s="3"/>
      <c r="U73" s="3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</row>
    <row r="74" spans="2:68" s="74" customFormat="1" ht="22.5" customHeight="1" x14ac:dyDescent="0.3">
      <c r="B74" s="63" t="s">
        <v>9</v>
      </c>
      <c r="C74" s="85" t="s">
        <v>279</v>
      </c>
      <c r="D74" s="64">
        <v>16</v>
      </c>
      <c r="E74" s="63" t="s">
        <v>371</v>
      </c>
      <c r="F74" s="64"/>
      <c r="G74" s="78">
        <v>1.4E-2</v>
      </c>
      <c r="H74" s="73"/>
      <c r="I74" s="67">
        <v>1100000</v>
      </c>
      <c r="J74" s="63" t="s">
        <v>56</v>
      </c>
      <c r="K74" s="54"/>
      <c r="L74" s="8"/>
      <c r="M74" s="2"/>
      <c r="N74" s="2"/>
      <c r="O74" s="2"/>
      <c r="P74" s="2"/>
      <c r="Q74" s="2"/>
      <c r="R74" s="2"/>
      <c r="S74" s="3"/>
      <c r="T74" s="3"/>
      <c r="U74" s="3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</row>
    <row r="75" spans="2:68" s="74" customFormat="1" ht="24.75" customHeight="1" x14ac:dyDescent="0.3">
      <c r="B75" s="63" t="s">
        <v>9</v>
      </c>
      <c r="C75" s="85" t="s">
        <v>279</v>
      </c>
      <c r="D75" s="64">
        <v>18</v>
      </c>
      <c r="E75" s="63" t="s">
        <v>371</v>
      </c>
      <c r="F75" s="64"/>
      <c r="G75" s="78">
        <v>0.05</v>
      </c>
      <c r="H75" s="73"/>
      <c r="I75" s="67">
        <v>1100000</v>
      </c>
      <c r="J75" s="63" t="s">
        <v>56</v>
      </c>
      <c r="K75" s="54"/>
      <c r="L75" s="8"/>
      <c r="M75" s="2"/>
      <c r="N75" s="2"/>
      <c r="O75" s="2"/>
      <c r="P75" s="2"/>
      <c r="Q75" s="2"/>
      <c r="R75" s="2"/>
      <c r="S75" s="3"/>
      <c r="T75" s="3"/>
      <c r="U75" s="3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</row>
    <row r="76" spans="2:68" s="74" customFormat="1" ht="24.75" customHeight="1" x14ac:dyDescent="0.3">
      <c r="B76" s="63" t="s">
        <v>9</v>
      </c>
      <c r="C76" s="85" t="s">
        <v>279</v>
      </c>
      <c r="D76" s="64">
        <v>19</v>
      </c>
      <c r="E76" s="63" t="s">
        <v>371</v>
      </c>
      <c r="F76" s="64"/>
      <c r="G76" s="78">
        <v>0.06</v>
      </c>
      <c r="H76" s="73"/>
      <c r="I76" s="67">
        <v>1100000</v>
      </c>
      <c r="J76" s="63" t="s">
        <v>56</v>
      </c>
      <c r="K76" s="54"/>
      <c r="L76" s="8"/>
      <c r="M76" s="2"/>
      <c r="N76" s="2"/>
      <c r="O76" s="2"/>
      <c r="P76" s="2"/>
      <c r="Q76" s="2"/>
      <c r="R76" s="2"/>
      <c r="S76" s="3"/>
      <c r="T76" s="3"/>
      <c r="U76" s="3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</row>
    <row r="77" spans="2:68" s="74" customFormat="1" ht="24.75" customHeight="1" x14ac:dyDescent="0.3">
      <c r="B77" s="63" t="s">
        <v>9</v>
      </c>
      <c r="C77" s="85" t="s">
        <v>279</v>
      </c>
      <c r="D77" s="64">
        <v>20</v>
      </c>
      <c r="E77" s="63" t="s">
        <v>371</v>
      </c>
      <c r="F77" s="64" t="s">
        <v>280</v>
      </c>
      <c r="G77" s="78">
        <v>0.108</v>
      </c>
      <c r="H77" s="73" t="s">
        <v>63</v>
      </c>
      <c r="I77" s="67">
        <v>1100000</v>
      </c>
      <c r="J77" s="63" t="s">
        <v>56</v>
      </c>
      <c r="K77" s="54"/>
      <c r="L77" s="8"/>
      <c r="M77" s="2"/>
      <c r="N77" s="2"/>
      <c r="O77" s="2"/>
      <c r="P77" s="2"/>
      <c r="Q77" s="2"/>
      <c r="R77" s="2"/>
      <c r="S77" s="3"/>
      <c r="T77" s="3"/>
      <c r="U77" s="3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</row>
    <row r="78" spans="2:68" s="74" customFormat="1" ht="24.75" customHeight="1" x14ac:dyDescent="0.3">
      <c r="B78" s="63" t="s">
        <v>9</v>
      </c>
      <c r="C78" s="85" t="s">
        <v>279</v>
      </c>
      <c r="D78" s="64">
        <v>22</v>
      </c>
      <c r="E78" s="63" t="s">
        <v>371</v>
      </c>
      <c r="F78" s="64"/>
      <c r="G78" s="78">
        <v>0.14099999999999999</v>
      </c>
      <c r="H78" s="73"/>
      <c r="I78" s="67">
        <v>1100000</v>
      </c>
      <c r="J78" s="63" t="s">
        <v>56</v>
      </c>
      <c r="K78" s="54"/>
      <c r="L78" s="8"/>
      <c r="M78" s="2"/>
      <c r="N78" s="2"/>
      <c r="O78" s="2"/>
      <c r="P78" s="2"/>
      <c r="Q78" s="2"/>
      <c r="R78" s="2"/>
      <c r="S78" s="3"/>
      <c r="T78" s="3"/>
      <c r="U78" s="3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</row>
    <row r="79" spans="2:68" s="74" customFormat="1" ht="19.5" customHeight="1" x14ac:dyDescent="0.3">
      <c r="B79" s="63" t="s">
        <v>9</v>
      </c>
      <c r="C79" s="85" t="s">
        <v>279</v>
      </c>
      <c r="D79" s="64">
        <v>25</v>
      </c>
      <c r="E79" s="63" t="s">
        <v>371</v>
      </c>
      <c r="F79" s="64" t="s">
        <v>280</v>
      </c>
      <c r="G79" s="78">
        <v>0.161</v>
      </c>
      <c r="H79" s="73" t="s">
        <v>63</v>
      </c>
      <c r="I79" s="67">
        <v>1100000</v>
      </c>
      <c r="J79" s="63" t="s">
        <v>56</v>
      </c>
      <c r="K79" s="54"/>
      <c r="L79" s="8"/>
      <c r="M79" s="2"/>
      <c r="N79" s="2"/>
      <c r="O79" s="2"/>
      <c r="P79" s="2"/>
      <c r="Q79" s="2"/>
      <c r="R79" s="2"/>
      <c r="S79" s="3"/>
      <c r="T79" s="3"/>
      <c r="U79" s="3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</row>
    <row r="80" spans="2:68" s="74" customFormat="1" ht="19.5" customHeight="1" x14ac:dyDescent="0.3">
      <c r="B80" s="63" t="s">
        <v>9</v>
      </c>
      <c r="C80" s="85" t="s">
        <v>279</v>
      </c>
      <c r="D80" s="64">
        <v>28</v>
      </c>
      <c r="E80" s="63" t="s">
        <v>371</v>
      </c>
      <c r="F80" s="64"/>
      <c r="G80" s="78">
        <v>0.16800000000000001</v>
      </c>
      <c r="H80" s="73"/>
      <c r="I80" s="67">
        <v>1100000</v>
      </c>
      <c r="J80" s="63" t="s">
        <v>56</v>
      </c>
      <c r="K80" s="54"/>
      <c r="L80" s="8"/>
      <c r="M80" s="2"/>
      <c r="N80" s="2"/>
      <c r="O80" s="2"/>
      <c r="P80" s="2"/>
      <c r="Q80" s="2"/>
      <c r="R80" s="2"/>
      <c r="S80" s="3"/>
      <c r="T80" s="3"/>
      <c r="U80" s="3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</row>
    <row r="81" spans="2:68" s="74" customFormat="1" ht="19.5" customHeight="1" x14ac:dyDescent="0.3">
      <c r="B81" s="63" t="s">
        <v>9</v>
      </c>
      <c r="C81" s="85" t="s">
        <v>279</v>
      </c>
      <c r="D81" s="64">
        <v>30</v>
      </c>
      <c r="E81" s="63" t="s">
        <v>371</v>
      </c>
      <c r="F81" s="64" t="s">
        <v>280</v>
      </c>
      <c r="G81" s="78">
        <v>0.59599999999999997</v>
      </c>
      <c r="H81" s="73" t="s">
        <v>63</v>
      </c>
      <c r="I81" s="67">
        <v>1100000</v>
      </c>
      <c r="J81" s="63" t="s">
        <v>56</v>
      </c>
      <c r="K81" s="54"/>
      <c r="L81" s="8"/>
      <c r="M81" s="2"/>
      <c r="N81" s="2"/>
      <c r="O81" s="2"/>
      <c r="P81" s="2"/>
      <c r="Q81" s="2"/>
      <c r="R81" s="2"/>
      <c r="S81" s="3"/>
      <c r="T81" s="3"/>
      <c r="U81" s="3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</row>
    <row r="82" spans="2:68" s="74" customFormat="1" ht="19.5" customHeight="1" x14ac:dyDescent="0.3">
      <c r="B82" s="63" t="s">
        <v>9</v>
      </c>
      <c r="C82" s="85" t="s">
        <v>279</v>
      </c>
      <c r="D82" s="64">
        <v>32</v>
      </c>
      <c r="E82" s="63" t="s">
        <v>371</v>
      </c>
      <c r="F82" s="64"/>
      <c r="G82" s="78">
        <v>6.2E-2</v>
      </c>
      <c r="H82" s="73"/>
      <c r="I82" s="67">
        <v>1100000</v>
      </c>
      <c r="J82" s="63" t="s">
        <v>56</v>
      </c>
      <c r="K82" s="54"/>
      <c r="L82" s="8"/>
      <c r="M82" s="2"/>
      <c r="N82" s="2"/>
      <c r="O82" s="2"/>
      <c r="P82" s="2"/>
      <c r="Q82" s="2"/>
      <c r="R82" s="2"/>
      <c r="S82" s="3"/>
      <c r="T82" s="3"/>
      <c r="U82" s="3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</row>
    <row r="83" spans="2:68" s="74" customFormat="1" ht="19.5" customHeight="1" x14ac:dyDescent="0.3">
      <c r="B83" s="63" t="s">
        <v>9</v>
      </c>
      <c r="C83" s="85" t="s">
        <v>279</v>
      </c>
      <c r="D83" s="64">
        <v>35</v>
      </c>
      <c r="E83" s="63" t="s">
        <v>371</v>
      </c>
      <c r="F83" s="64" t="s">
        <v>280</v>
      </c>
      <c r="G83" s="78">
        <v>0.57999999999999996</v>
      </c>
      <c r="H83" s="73" t="s">
        <v>63</v>
      </c>
      <c r="I83" s="67">
        <v>1100000</v>
      </c>
      <c r="J83" s="63" t="s">
        <v>56</v>
      </c>
      <c r="K83" s="54"/>
      <c r="L83" s="8"/>
      <c r="M83" s="2"/>
      <c r="N83" s="2"/>
      <c r="O83" s="2"/>
      <c r="P83" s="2"/>
      <c r="Q83" s="2"/>
      <c r="R83" s="2"/>
      <c r="S83" s="3"/>
      <c r="T83" s="3"/>
      <c r="U83" s="3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</row>
    <row r="84" spans="2:68" s="74" customFormat="1" ht="19.5" customHeight="1" x14ac:dyDescent="0.3">
      <c r="B84" s="63" t="s">
        <v>9</v>
      </c>
      <c r="C84" s="85" t="s">
        <v>279</v>
      </c>
      <c r="D84" s="64">
        <v>40</v>
      </c>
      <c r="E84" s="63" t="s">
        <v>371</v>
      </c>
      <c r="F84" s="64" t="s">
        <v>280</v>
      </c>
      <c r="G84" s="78">
        <v>0.44500000000000001</v>
      </c>
      <c r="H84" s="73" t="s">
        <v>63</v>
      </c>
      <c r="I84" s="67">
        <v>1100000</v>
      </c>
      <c r="J84" s="63" t="s">
        <v>56</v>
      </c>
      <c r="K84" s="54"/>
      <c r="L84" s="8"/>
      <c r="M84" s="2"/>
      <c r="N84" s="2"/>
      <c r="O84" s="2"/>
      <c r="P84" s="2"/>
      <c r="Q84" s="2"/>
      <c r="R84" s="2"/>
      <c r="S84" s="3"/>
      <c r="T84" s="3"/>
      <c r="U84" s="3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</row>
    <row r="85" spans="2:68" s="74" customFormat="1" ht="19.5" customHeight="1" x14ac:dyDescent="0.3">
      <c r="B85" s="63" t="s">
        <v>26</v>
      </c>
      <c r="C85" s="85" t="s">
        <v>279</v>
      </c>
      <c r="D85" s="64">
        <v>14</v>
      </c>
      <c r="E85" s="63" t="s">
        <v>371</v>
      </c>
      <c r="F85" s="64"/>
      <c r="G85" s="78">
        <v>1E-3</v>
      </c>
      <c r="H85" s="73"/>
      <c r="I85" s="67">
        <v>1100000</v>
      </c>
      <c r="J85" s="63" t="s">
        <v>56</v>
      </c>
      <c r="K85" s="54"/>
      <c r="L85" s="8"/>
      <c r="M85" s="2"/>
      <c r="N85" s="2"/>
      <c r="O85" s="2"/>
      <c r="P85" s="2"/>
      <c r="Q85" s="2"/>
      <c r="R85" s="2"/>
      <c r="S85" s="3"/>
      <c r="T85" s="3"/>
      <c r="U85" s="3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</row>
    <row r="86" spans="2:68" s="74" customFormat="1" ht="19.5" customHeight="1" x14ac:dyDescent="0.3">
      <c r="B86" s="63" t="s">
        <v>26</v>
      </c>
      <c r="C86" s="85" t="s">
        <v>279</v>
      </c>
      <c r="D86" s="64">
        <v>22</v>
      </c>
      <c r="E86" s="63" t="s">
        <v>371</v>
      </c>
      <c r="F86" s="64"/>
      <c r="G86" s="78">
        <v>8.9999999999999993E-3</v>
      </c>
      <c r="H86" s="73"/>
      <c r="I86" s="67">
        <v>1100000</v>
      </c>
      <c r="J86" s="63" t="s">
        <v>56</v>
      </c>
      <c r="K86" s="54"/>
      <c r="L86" s="8"/>
      <c r="M86" s="2"/>
      <c r="N86" s="2"/>
      <c r="O86" s="2"/>
      <c r="P86" s="2"/>
      <c r="Q86" s="2"/>
      <c r="R86" s="2"/>
      <c r="S86" s="3"/>
      <c r="T86" s="3"/>
      <c r="U86" s="3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</row>
    <row r="87" spans="2:68" s="74" customFormat="1" ht="19.5" customHeight="1" x14ac:dyDescent="0.3">
      <c r="B87" s="63" t="s">
        <v>26</v>
      </c>
      <c r="C87" s="85" t="s">
        <v>279</v>
      </c>
      <c r="D87" s="64">
        <v>24</v>
      </c>
      <c r="E87" s="63" t="s">
        <v>371</v>
      </c>
      <c r="F87" s="64" t="s">
        <v>281</v>
      </c>
      <c r="G87" s="78">
        <v>0.55300000000000005</v>
      </c>
      <c r="H87" s="73" t="s">
        <v>63</v>
      </c>
      <c r="I87" s="67">
        <v>1100000</v>
      </c>
      <c r="J87" s="63" t="s">
        <v>56</v>
      </c>
      <c r="K87" s="54"/>
      <c r="L87" s="8"/>
      <c r="M87" s="2"/>
      <c r="N87" s="2"/>
      <c r="O87" s="2"/>
      <c r="P87" s="2"/>
      <c r="Q87" s="2"/>
      <c r="R87" s="2"/>
      <c r="S87" s="3"/>
      <c r="T87" s="3"/>
      <c r="U87" s="3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</row>
    <row r="88" spans="2:68" s="74" customFormat="1" ht="19.5" customHeight="1" x14ac:dyDescent="0.3">
      <c r="B88" s="63" t="s">
        <v>26</v>
      </c>
      <c r="C88" s="85" t="s">
        <v>279</v>
      </c>
      <c r="D88" s="64">
        <v>27</v>
      </c>
      <c r="E88" s="63" t="s">
        <v>371</v>
      </c>
      <c r="F88" s="64" t="s">
        <v>281</v>
      </c>
      <c r="G88" s="78">
        <v>0.58099999999999996</v>
      </c>
      <c r="H88" s="73" t="s">
        <v>63</v>
      </c>
      <c r="I88" s="67">
        <v>1100000</v>
      </c>
      <c r="J88" s="63" t="s">
        <v>56</v>
      </c>
      <c r="K88" s="54"/>
      <c r="L88" s="8"/>
      <c r="M88" s="2"/>
      <c r="N88" s="2"/>
      <c r="O88" s="2"/>
      <c r="P88" s="2"/>
      <c r="Q88" s="2"/>
      <c r="R88" s="2"/>
      <c r="S88" s="3"/>
      <c r="T88" s="3"/>
      <c r="U88" s="3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</row>
    <row r="89" spans="2:68" s="74" customFormat="1" ht="19.5" customHeight="1" x14ac:dyDescent="0.3">
      <c r="B89" s="63" t="s">
        <v>26</v>
      </c>
      <c r="C89" s="85" t="s">
        <v>279</v>
      </c>
      <c r="D89" s="64">
        <v>30</v>
      </c>
      <c r="E89" s="63" t="s">
        <v>371</v>
      </c>
      <c r="F89" s="64" t="s">
        <v>281</v>
      </c>
      <c r="G89" s="78">
        <v>0.16800000000000001</v>
      </c>
      <c r="H89" s="73" t="s">
        <v>63</v>
      </c>
      <c r="I89" s="67">
        <v>1100000</v>
      </c>
      <c r="J89" s="63" t="s">
        <v>56</v>
      </c>
      <c r="K89" s="54"/>
      <c r="L89" s="8"/>
      <c r="M89" s="2"/>
      <c r="N89" s="2"/>
      <c r="O89" s="2"/>
      <c r="P89" s="2"/>
      <c r="Q89" s="2"/>
      <c r="R89" s="2"/>
      <c r="S89" s="3"/>
      <c r="T89" s="3"/>
      <c r="U89" s="3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</row>
    <row r="90" spans="2:68" s="74" customFormat="1" ht="19.5" customHeight="1" x14ac:dyDescent="0.3">
      <c r="B90" s="63" t="s">
        <v>26</v>
      </c>
      <c r="C90" s="85" t="s">
        <v>279</v>
      </c>
      <c r="D90" s="64">
        <v>32</v>
      </c>
      <c r="E90" s="63" t="s">
        <v>371</v>
      </c>
      <c r="F90" s="64" t="s">
        <v>281</v>
      </c>
      <c r="G90" s="78">
        <v>0.02</v>
      </c>
      <c r="H90" s="73" t="s">
        <v>63</v>
      </c>
      <c r="I90" s="67">
        <v>1100000</v>
      </c>
      <c r="J90" s="63" t="s">
        <v>56</v>
      </c>
      <c r="K90" s="54"/>
      <c r="L90" s="8"/>
      <c r="M90" s="2"/>
      <c r="N90" s="2"/>
      <c r="O90" s="2"/>
      <c r="P90" s="2"/>
      <c r="Q90" s="2"/>
      <c r="R90" s="2"/>
      <c r="S90" s="3"/>
      <c r="T90" s="3"/>
      <c r="U90" s="3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</row>
    <row r="91" spans="2:68" s="74" customFormat="1" ht="19.5" customHeight="1" x14ac:dyDescent="0.3">
      <c r="B91" s="63" t="s">
        <v>26</v>
      </c>
      <c r="C91" s="85" t="s">
        <v>279</v>
      </c>
      <c r="D91" s="64">
        <v>36</v>
      </c>
      <c r="E91" s="63" t="s">
        <v>371</v>
      </c>
      <c r="F91" s="64"/>
      <c r="G91" s="78">
        <v>3.5000000000000003E-2</v>
      </c>
      <c r="H91" s="73"/>
      <c r="I91" s="67">
        <v>1100000</v>
      </c>
      <c r="J91" s="63" t="s">
        <v>56</v>
      </c>
      <c r="K91" s="54"/>
      <c r="L91" s="8"/>
      <c r="M91" s="2"/>
      <c r="N91" s="2"/>
      <c r="O91" s="2"/>
      <c r="P91" s="2"/>
      <c r="Q91" s="2"/>
      <c r="R91" s="2"/>
      <c r="S91" s="3"/>
      <c r="T91" s="3"/>
      <c r="U91" s="3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</row>
    <row r="92" spans="2:68" s="74" customFormat="1" ht="19.5" customHeight="1" x14ac:dyDescent="0.3">
      <c r="B92" s="63" t="s">
        <v>26</v>
      </c>
      <c r="C92" s="85" t="s">
        <v>279</v>
      </c>
      <c r="D92" s="64">
        <v>41</v>
      </c>
      <c r="E92" s="63" t="s">
        <v>371</v>
      </c>
      <c r="F92" s="64" t="s">
        <v>282</v>
      </c>
      <c r="G92" s="78">
        <v>2.5999999999999999E-2</v>
      </c>
      <c r="H92" s="73" t="s">
        <v>111</v>
      </c>
      <c r="I92" s="67">
        <v>1100000</v>
      </c>
      <c r="J92" s="63" t="s">
        <v>56</v>
      </c>
      <c r="K92" s="54"/>
      <c r="L92" s="8"/>
      <c r="M92" s="2"/>
      <c r="N92" s="2"/>
      <c r="O92" s="2"/>
      <c r="P92" s="2"/>
      <c r="Q92" s="2"/>
      <c r="R92" s="2"/>
      <c r="S92" s="3"/>
      <c r="T92" s="3"/>
      <c r="U92" s="3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</row>
    <row r="93" spans="2:68" s="2" customFormat="1" ht="19.5" customHeight="1" x14ac:dyDescent="0.3">
      <c r="B93" s="26" t="s">
        <v>54</v>
      </c>
      <c r="C93" s="41" t="s">
        <v>168</v>
      </c>
      <c r="D93" s="27">
        <v>12</v>
      </c>
      <c r="E93" s="27"/>
      <c r="F93" s="27" t="s">
        <v>210</v>
      </c>
      <c r="G93" s="30">
        <v>0.38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168</v>
      </c>
      <c r="D94" s="27">
        <v>16</v>
      </c>
      <c r="E94" s="27"/>
      <c r="F94" s="27" t="s">
        <v>210</v>
      </c>
      <c r="G94" s="30">
        <v>0.35199999999999998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2" customFormat="1" ht="19.5" customHeight="1" x14ac:dyDescent="0.3">
      <c r="B95" s="26" t="s">
        <v>54</v>
      </c>
      <c r="C95" s="41" t="s">
        <v>168</v>
      </c>
      <c r="D95" s="27">
        <v>80</v>
      </c>
      <c r="E95" s="27" t="s">
        <v>394</v>
      </c>
      <c r="F95" s="27" t="s">
        <v>210</v>
      </c>
      <c r="G95" s="30">
        <v>5.5E-2</v>
      </c>
      <c r="H95" s="28"/>
      <c r="I95" s="38">
        <v>490000</v>
      </c>
      <c r="J95" s="26" t="s">
        <v>56</v>
      </c>
      <c r="K95" s="14"/>
      <c r="L95" s="8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2:68" s="3" customFormat="1" ht="19.5" customHeight="1" x14ac:dyDescent="0.3">
      <c r="B96" s="26" t="s">
        <v>54</v>
      </c>
      <c r="C96" s="41" t="s">
        <v>191</v>
      </c>
      <c r="D96" s="27">
        <v>52</v>
      </c>
      <c r="E96" s="27"/>
      <c r="F96" s="27" t="s">
        <v>251</v>
      </c>
      <c r="G96" s="30">
        <v>3.3690000000000002</v>
      </c>
      <c r="H96" s="28" t="s">
        <v>58</v>
      </c>
      <c r="I96" s="38">
        <v>410000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191</v>
      </c>
      <c r="D97" s="27">
        <v>80</v>
      </c>
      <c r="E97" s="27"/>
      <c r="F97" s="27" t="s">
        <v>232</v>
      </c>
      <c r="G97" s="30">
        <v>1.0960000000000001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191</v>
      </c>
      <c r="D98" s="27">
        <v>90</v>
      </c>
      <c r="E98" s="27"/>
      <c r="F98" s="27" t="s">
        <v>232</v>
      </c>
      <c r="G98" s="30">
        <v>2.5880000000000001</v>
      </c>
      <c r="H98" s="28" t="s">
        <v>62</v>
      </c>
      <c r="I98" s="38">
        <v>430000</v>
      </c>
      <c r="J98" s="26" t="s">
        <v>56</v>
      </c>
      <c r="K98" s="12"/>
      <c r="L98" s="10"/>
    </row>
    <row r="99" spans="2:68" s="3" customFormat="1" ht="19.5" customHeight="1" x14ac:dyDescent="0.3">
      <c r="B99" s="26" t="s">
        <v>54</v>
      </c>
      <c r="C99" s="41" t="s">
        <v>191</v>
      </c>
      <c r="D99" s="27">
        <v>100</v>
      </c>
      <c r="E99" s="27"/>
      <c r="F99" s="27" t="s">
        <v>232</v>
      </c>
      <c r="G99" s="30">
        <v>4.9210000000000003</v>
      </c>
      <c r="H99" s="28" t="s">
        <v>62</v>
      </c>
      <c r="I99" s="38">
        <v>460000</v>
      </c>
      <c r="J99" s="26" t="s">
        <v>56</v>
      </c>
      <c r="K99" s="12"/>
      <c r="L99" s="10"/>
    </row>
    <row r="100" spans="2:68" s="2" customFormat="1" ht="19.5" customHeight="1" x14ac:dyDescent="0.3">
      <c r="B100" s="26" t="s">
        <v>54</v>
      </c>
      <c r="C100" s="41" t="s">
        <v>152</v>
      </c>
      <c r="D100" s="27">
        <v>150</v>
      </c>
      <c r="E100" s="27"/>
      <c r="F100" s="27" t="s">
        <v>169</v>
      </c>
      <c r="G100" s="30">
        <v>0.2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2" customFormat="1" ht="19.5" customHeight="1" x14ac:dyDescent="0.3">
      <c r="B101" s="26" t="s">
        <v>54</v>
      </c>
      <c r="C101" s="41" t="s">
        <v>152</v>
      </c>
      <c r="D101" s="27">
        <v>160</v>
      </c>
      <c r="E101" s="27"/>
      <c r="F101" s="27" t="s">
        <v>169</v>
      </c>
      <c r="G101" s="30">
        <v>2.0409999999999999</v>
      </c>
      <c r="H101" s="28" t="s">
        <v>62</v>
      </c>
      <c r="I101" s="38">
        <v>430000</v>
      </c>
      <c r="J101" s="26" t="s">
        <v>56</v>
      </c>
      <c r="K101" s="14"/>
      <c r="L101" s="8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2:68" s="3" customFormat="1" ht="19.5" customHeight="1" x14ac:dyDescent="0.3">
      <c r="B102" s="26" t="s">
        <v>9</v>
      </c>
      <c r="C102" s="41" t="s">
        <v>72</v>
      </c>
      <c r="D102" s="27">
        <v>26</v>
      </c>
      <c r="E102" s="27"/>
      <c r="F102" s="27" t="s">
        <v>201</v>
      </c>
      <c r="G102" s="30">
        <v>6.0999999999999999E-2</v>
      </c>
      <c r="H102" s="28" t="s">
        <v>58</v>
      </c>
      <c r="I102" s="38">
        <v>1390000</v>
      </c>
      <c r="J102" s="29" t="s">
        <v>56</v>
      </c>
      <c r="K102" s="14"/>
      <c r="L102" s="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41" t="s">
        <v>77</v>
      </c>
      <c r="D103" s="27">
        <v>120</v>
      </c>
      <c r="E103" s="27"/>
      <c r="F103" s="27" t="s">
        <v>78</v>
      </c>
      <c r="G103" s="30">
        <v>0.12</v>
      </c>
      <c r="H103" s="28" t="s">
        <v>63</v>
      </c>
      <c r="I103" s="38">
        <v>4890000</v>
      </c>
      <c r="J103" s="29" t="s">
        <v>56</v>
      </c>
      <c r="K103" s="12"/>
      <c r="L103" s="10"/>
    </row>
    <row r="104" spans="2:68" s="3" customFormat="1" ht="19.5" customHeight="1" x14ac:dyDescent="0.3">
      <c r="B104" s="26" t="s">
        <v>9</v>
      </c>
      <c r="C104" s="27" t="s">
        <v>214</v>
      </c>
      <c r="D104" s="27">
        <v>45</v>
      </c>
      <c r="E104" s="27"/>
      <c r="F104" s="27" t="s">
        <v>91</v>
      </c>
      <c r="G104" s="30">
        <v>0.41699999999999998</v>
      </c>
      <c r="H104" s="28" t="s">
        <v>92</v>
      </c>
      <c r="I104" s="38">
        <v>790000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16</v>
      </c>
      <c r="E105" s="27"/>
      <c r="F105" s="27" t="s">
        <v>160</v>
      </c>
      <c r="G105" s="30">
        <v>1.351</v>
      </c>
      <c r="H105" s="28" t="s">
        <v>61</v>
      </c>
      <c r="I105" s="38">
        <v>590000</v>
      </c>
      <c r="J105" s="29" t="s">
        <v>56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26" t="s">
        <v>9</v>
      </c>
      <c r="C106" s="27" t="s">
        <v>28</v>
      </c>
      <c r="D106" s="27">
        <v>25</v>
      </c>
      <c r="E106" s="27"/>
      <c r="F106" s="27" t="s">
        <v>189</v>
      </c>
      <c r="G106" s="30">
        <v>0.379</v>
      </c>
      <c r="H106" s="28" t="s">
        <v>61</v>
      </c>
      <c r="I106" s="38">
        <v>590000</v>
      </c>
      <c r="J106" s="29" t="s">
        <v>188</v>
      </c>
      <c r="K106" s="12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70" t="s">
        <v>9</v>
      </c>
      <c r="C107" s="71" t="s">
        <v>28</v>
      </c>
      <c r="D107" s="71">
        <v>30</v>
      </c>
      <c r="E107" s="71"/>
      <c r="F107" s="71" t="s">
        <v>189</v>
      </c>
      <c r="G107" s="92">
        <v>1.6359999999999999</v>
      </c>
      <c r="H107" s="76" t="s">
        <v>58</v>
      </c>
      <c r="I107" s="72">
        <v>590000</v>
      </c>
      <c r="J107" s="63" t="s">
        <v>56</v>
      </c>
      <c r="K107" s="110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30</v>
      </c>
      <c r="E108" s="27"/>
      <c r="F108" s="27" t="s">
        <v>189</v>
      </c>
      <c r="G108" s="30">
        <v>1.1060000000000001</v>
      </c>
      <c r="H108" s="28" t="s">
        <v>61</v>
      </c>
      <c r="I108" s="38">
        <v>590000</v>
      </c>
      <c r="J108" s="29" t="s">
        <v>188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26" t="s">
        <v>9</v>
      </c>
      <c r="C109" s="27" t="s">
        <v>28</v>
      </c>
      <c r="D109" s="27">
        <v>36</v>
      </c>
      <c r="E109" s="27"/>
      <c r="F109" s="27" t="s">
        <v>189</v>
      </c>
      <c r="G109" s="30">
        <v>0.70399999999999996</v>
      </c>
      <c r="H109" s="28" t="s">
        <v>61</v>
      </c>
      <c r="I109" s="38">
        <v>590000</v>
      </c>
      <c r="J109" s="29" t="s">
        <v>188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0" t="s">
        <v>9</v>
      </c>
      <c r="C110" s="81" t="s">
        <v>28</v>
      </c>
      <c r="D110" s="81">
        <v>50</v>
      </c>
      <c r="E110" s="81"/>
      <c r="F110" s="71" t="s">
        <v>384</v>
      </c>
      <c r="G110" s="82">
        <v>3.5760000000000001</v>
      </c>
      <c r="H110" s="83" t="s">
        <v>60</v>
      </c>
      <c r="I110" s="89">
        <v>590000</v>
      </c>
      <c r="J110" s="63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0" t="s">
        <v>9</v>
      </c>
      <c r="C111" s="81" t="s">
        <v>28</v>
      </c>
      <c r="D111" s="81">
        <v>60</v>
      </c>
      <c r="E111" s="81"/>
      <c r="F111" s="71" t="s">
        <v>384</v>
      </c>
      <c r="G111" s="82">
        <v>4.2389999999999999</v>
      </c>
      <c r="H111" s="83" t="s">
        <v>60</v>
      </c>
      <c r="I111" s="89">
        <v>398000</v>
      </c>
      <c r="J111" s="63" t="s">
        <v>56</v>
      </c>
      <c r="K111" s="12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0" t="s">
        <v>9</v>
      </c>
      <c r="C112" s="81" t="s">
        <v>28</v>
      </c>
      <c r="D112" s="81">
        <v>70</v>
      </c>
      <c r="E112" s="81"/>
      <c r="F112" s="81" t="s">
        <v>321</v>
      </c>
      <c r="G112" s="82">
        <v>2.4169999999999998</v>
      </c>
      <c r="H112" s="83" t="s">
        <v>62</v>
      </c>
      <c r="I112" s="89">
        <v>398000</v>
      </c>
      <c r="J112" s="63" t="s">
        <v>56</v>
      </c>
      <c r="K112" s="54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3" customFormat="1" ht="19.5" customHeight="1" x14ac:dyDescent="0.3">
      <c r="B113" s="80" t="s">
        <v>9</v>
      </c>
      <c r="C113" s="81" t="s">
        <v>28</v>
      </c>
      <c r="D113" s="81">
        <v>80</v>
      </c>
      <c r="E113" s="81"/>
      <c r="F113" s="81" t="s">
        <v>321</v>
      </c>
      <c r="G113" s="82">
        <v>4.43</v>
      </c>
      <c r="H113" s="83" t="s">
        <v>60</v>
      </c>
      <c r="I113" s="89">
        <v>398000</v>
      </c>
      <c r="J113" s="63" t="s">
        <v>56</v>
      </c>
      <c r="K113" s="54"/>
      <c r="L113" s="1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405</v>
      </c>
      <c r="F114" s="27" t="s">
        <v>262</v>
      </c>
      <c r="G114" s="30">
        <v>0.14000000000000001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404</v>
      </c>
      <c r="F115" s="27" t="s">
        <v>131</v>
      </c>
      <c r="G115" s="30">
        <v>3.976</v>
      </c>
      <c r="H115" s="28" t="s">
        <v>62</v>
      </c>
      <c r="I115" s="38">
        <v>398000</v>
      </c>
      <c r="J115" s="29" t="s">
        <v>56</v>
      </c>
      <c r="K115" s="12" t="s">
        <v>264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401</v>
      </c>
      <c r="F116" s="27" t="s">
        <v>131</v>
      </c>
      <c r="G116" s="30">
        <v>4.319</v>
      </c>
      <c r="H116" s="28" t="s">
        <v>62</v>
      </c>
      <c r="I116" s="38">
        <v>398000</v>
      </c>
      <c r="J116" s="29" t="s">
        <v>56</v>
      </c>
      <c r="K116" s="12" t="s">
        <v>263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131</v>
      </c>
      <c r="G117" s="30">
        <v>2.1179999999999999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131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192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131</v>
      </c>
      <c r="G120" s="30">
        <v>4.7750000000000004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131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 t="s">
        <v>403</v>
      </c>
      <c r="F122" s="27" t="s">
        <v>192</v>
      </c>
      <c r="G122" s="30">
        <v>8.8819999999999997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131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0" customFormat="1" ht="19.5" customHeight="1" x14ac:dyDescent="0.3">
      <c r="B124" s="80" t="s">
        <v>9</v>
      </c>
      <c r="C124" s="81" t="s">
        <v>28</v>
      </c>
      <c r="D124" s="81">
        <v>210</v>
      </c>
      <c r="E124" s="81"/>
      <c r="F124" s="81" t="s">
        <v>333</v>
      </c>
      <c r="G124" s="82">
        <v>6.9379999999999997</v>
      </c>
      <c r="H124" s="83" t="s">
        <v>62</v>
      </c>
      <c r="I124" s="89">
        <v>398000</v>
      </c>
      <c r="J124" s="63" t="s">
        <v>56</v>
      </c>
      <c r="K124" s="54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</row>
    <row r="125" spans="2:68" s="90" customFormat="1" ht="19.5" customHeight="1" x14ac:dyDescent="0.3">
      <c r="B125" s="80" t="s">
        <v>9</v>
      </c>
      <c r="C125" s="81" t="s">
        <v>28</v>
      </c>
      <c r="D125" s="81">
        <v>230</v>
      </c>
      <c r="E125" s="81"/>
      <c r="F125" s="81" t="s">
        <v>321</v>
      </c>
      <c r="G125" s="82">
        <v>4.375</v>
      </c>
      <c r="H125" s="83" t="s">
        <v>62</v>
      </c>
      <c r="I125" s="89">
        <v>398000</v>
      </c>
      <c r="J125" s="63" t="s">
        <v>56</v>
      </c>
      <c r="K125" s="54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</row>
    <row r="126" spans="2:68" s="90" customFormat="1" ht="19.5" customHeight="1" x14ac:dyDescent="0.3">
      <c r="B126" s="80" t="s">
        <v>9</v>
      </c>
      <c r="C126" s="81" t="s">
        <v>28</v>
      </c>
      <c r="D126" s="81">
        <v>230</v>
      </c>
      <c r="E126" s="81"/>
      <c r="F126" s="81" t="s">
        <v>321</v>
      </c>
      <c r="G126" s="82">
        <v>0.42799999999999999</v>
      </c>
      <c r="H126" s="83" t="s">
        <v>60</v>
      </c>
      <c r="I126" s="89">
        <v>398000</v>
      </c>
      <c r="J126" s="63" t="s">
        <v>56</v>
      </c>
      <c r="K126" s="54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</row>
    <row r="127" spans="2:68" s="90" customFormat="1" ht="19.5" customHeight="1" x14ac:dyDescent="0.3">
      <c r="B127" s="80" t="s">
        <v>9</v>
      </c>
      <c r="C127" s="81" t="s">
        <v>28</v>
      </c>
      <c r="D127" s="81">
        <v>250</v>
      </c>
      <c r="E127" s="81"/>
      <c r="F127" s="81" t="s">
        <v>321</v>
      </c>
      <c r="G127" s="82">
        <v>3.7</v>
      </c>
      <c r="H127" s="83" t="s">
        <v>60</v>
      </c>
      <c r="I127" s="89">
        <v>398000</v>
      </c>
      <c r="J127" s="63" t="s">
        <v>56</v>
      </c>
      <c r="K127" s="54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372</v>
      </c>
      <c r="F129" s="27" t="s">
        <v>52</v>
      </c>
      <c r="G129" s="30">
        <v>9.6000000000000002E-2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373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0.28799999999999998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104</v>
      </c>
      <c r="G134" s="30">
        <v>0.06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374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7.8E-2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127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171</v>
      </c>
      <c r="G147" s="30">
        <v>5.359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171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171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256</v>
      </c>
      <c r="G150" s="30">
        <v>2.8639999999999999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171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400</v>
      </c>
      <c r="F152" s="122" t="s">
        <v>399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117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2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171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2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398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2"/>
      <c r="L155" s="10"/>
    </row>
    <row r="156" spans="2:21" s="75" customFormat="1" ht="19.5" customHeight="1" x14ac:dyDescent="0.3">
      <c r="B156" s="63" t="s">
        <v>9</v>
      </c>
      <c r="C156" s="64" t="s">
        <v>0</v>
      </c>
      <c r="D156" s="64">
        <v>100</v>
      </c>
      <c r="E156" s="64"/>
      <c r="F156" s="64"/>
      <c r="G156" s="78">
        <v>0.25600000000000001</v>
      </c>
      <c r="H156" s="73" t="s">
        <v>62</v>
      </c>
      <c r="I156" s="39">
        <v>430000</v>
      </c>
      <c r="J156" s="68" t="s">
        <v>56</v>
      </c>
      <c r="K156" s="111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257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2"/>
      <c r="L157" s="10"/>
    </row>
    <row r="158" spans="2:21" s="75" customFormat="1" ht="19.5" customHeight="1" x14ac:dyDescent="0.3">
      <c r="B158" s="63" t="s">
        <v>9</v>
      </c>
      <c r="C158" s="64" t="s">
        <v>0</v>
      </c>
      <c r="D158" s="64">
        <v>120</v>
      </c>
      <c r="E158" s="64"/>
      <c r="F158" s="64"/>
      <c r="G158" s="78">
        <v>0.52700000000000002</v>
      </c>
      <c r="H158" s="73"/>
      <c r="I158" s="39">
        <v>430000</v>
      </c>
      <c r="J158" s="68" t="s">
        <v>56</v>
      </c>
      <c r="K158" s="111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5" customFormat="1" ht="19.5" customHeight="1" x14ac:dyDescent="0.3">
      <c r="B159" s="63" t="s">
        <v>9</v>
      </c>
      <c r="C159" s="64" t="s">
        <v>0</v>
      </c>
      <c r="D159" s="64">
        <v>120</v>
      </c>
      <c r="E159" s="64"/>
      <c r="F159" s="64"/>
      <c r="G159" s="78">
        <v>2.3639999999999999</v>
      </c>
      <c r="H159" s="73" t="s">
        <v>58</v>
      </c>
      <c r="I159" s="39">
        <v>430000</v>
      </c>
      <c r="J159" s="68" t="s">
        <v>56</v>
      </c>
      <c r="K159" s="111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5" customFormat="1" ht="19.5" customHeight="1" x14ac:dyDescent="0.3">
      <c r="B160" s="63" t="s">
        <v>9</v>
      </c>
      <c r="C160" s="64" t="s">
        <v>0</v>
      </c>
      <c r="D160" s="64">
        <v>130</v>
      </c>
      <c r="E160" s="64"/>
      <c r="F160" s="64" t="s">
        <v>325</v>
      </c>
      <c r="G160" s="78">
        <v>5.1280000000000001</v>
      </c>
      <c r="H160" s="73" t="s">
        <v>62</v>
      </c>
      <c r="I160" s="72">
        <v>470000</v>
      </c>
      <c r="J160" s="63" t="s">
        <v>56</v>
      </c>
      <c r="K160" s="111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74" customFormat="1" ht="19.5" customHeight="1" x14ac:dyDescent="0.3">
      <c r="B161" s="63" t="s">
        <v>9</v>
      </c>
      <c r="C161" s="64" t="s">
        <v>0</v>
      </c>
      <c r="D161" s="64">
        <v>170</v>
      </c>
      <c r="E161" s="64"/>
      <c r="F161" s="64"/>
      <c r="G161" s="78">
        <v>0.77100000000000002</v>
      </c>
      <c r="H161" s="76"/>
      <c r="I161" s="39">
        <v>430000</v>
      </c>
      <c r="J161" s="68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</row>
    <row r="162" spans="2:68" s="74" customFormat="1" ht="19.5" customHeight="1" x14ac:dyDescent="0.3">
      <c r="B162" s="63" t="s">
        <v>9</v>
      </c>
      <c r="C162" s="64" t="s">
        <v>0</v>
      </c>
      <c r="D162" s="64">
        <v>180</v>
      </c>
      <c r="E162" s="64"/>
      <c r="F162" s="64" t="s">
        <v>239</v>
      </c>
      <c r="G162" s="78">
        <v>0.96099999999999997</v>
      </c>
      <c r="H162" s="73" t="s">
        <v>58</v>
      </c>
      <c r="I162" s="39">
        <v>430000</v>
      </c>
      <c r="J162" s="68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</row>
    <row r="163" spans="2:68" s="74" customFormat="1" ht="19.5" customHeight="1" x14ac:dyDescent="0.3">
      <c r="B163" s="63" t="s">
        <v>9</v>
      </c>
      <c r="C163" s="64" t="s">
        <v>0</v>
      </c>
      <c r="D163" s="64">
        <v>180</v>
      </c>
      <c r="E163" s="64"/>
      <c r="F163" s="64"/>
      <c r="G163" s="78">
        <v>3.105</v>
      </c>
      <c r="H163" s="76" t="s">
        <v>62</v>
      </c>
      <c r="I163" s="39">
        <v>430000</v>
      </c>
      <c r="J163" s="68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</row>
    <row r="164" spans="2:68" s="2" customFormat="1" ht="19.5" customHeight="1" x14ac:dyDescent="0.3">
      <c r="B164" s="26" t="s">
        <v>9</v>
      </c>
      <c r="C164" s="27" t="s">
        <v>0</v>
      </c>
      <c r="D164" s="27">
        <v>200</v>
      </c>
      <c r="E164" s="27"/>
      <c r="F164" s="27" t="s">
        <v>172</v>
      </c>
      <c r="G164" s="30">
        <v>0.94899999999999995</v>
      </c>
      <c r="H164" s="32" t="s">
        <v>58</v>
      </c>
      <c r="I164" s="39">
        <v>430000</v>
      </c>
      <c r="J164" s="29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</row>
    <row r="165" spans="2:68" s="74" customFormat="1" ht="19.5" customHeight="1" x14ac:dyDescent="0.3">
      <c r="B165" s="63" t="s">
        <v>9</v>
      </c>
      <c r="C165" s="64" t="s">
        <v>0</v>
      </c>
      <c r="D165" s="64">
        <v>205</v>
      </c>
      <c r="E165" s="64"/>
      <c r="F165" s="64"/>
      <c r="G165" s="78">
        <v>0.40899999999999997</v>
      </c>
      <c r="H165" s="76"/>
      <c r="I165" s="39">
        <v>430000</v>
      </c>
      <c r="J165" s="68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</row>
    <row r="166" spans="2:68" s="74" customFormat="1" ht="19.5" customHeight="1" x14ac:dyDescent="0.3">
      <c r="B166" s="63" t="s">
        <v>9</v>
      </c>
      <c r="C166" s="64" t="s">
        <v>0</v>
      </c>
      <c r="D166" s="64">
        <v>220</v>
      </c>
      <c r="E166" s="64"/>
      <c r="F166" s="64" t="s">
        <v>380</v>
      </c>
      <c r="G166" s="78">
        <v>9.8889999999999993</v>
      </c>
      <c r="H166" s="76" t="s">
        <v>62</v>
      </c>
      <c r="I166" s="72">
        <v>480000</v>
      </c>
      <c r="J166" s="68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</row>
    <row r="167" spans="2:68" s="3" customFormat="1" ht="19.5" customHeight="1" x14ac:dyDescent="0.3">
      <c r="B167" s="63" t="s">
        <v>9</v>
      </c>
      <c r="C167" s="64" t="s">
        <v>0</v>
      </c>
      <c r="D167" s="64">
        <v>270</v>
      </c>
      <c r="E167" s="64">
        <v>5.38</v>
      </c>
      <c r="F167" s="64" t="s">
        <v>381</v>
      </c>
      <c r="G167" s="78">
        <v>1.9870000000000001</v>
      </c>
      <c r="H167" s="76" t="s">
        <v>62</v>
      </c>
      <c r="I167" s="72">
        <v>510000</v>
      </c>
      <c r="J167" s="68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280</v>
      </c>
      <c r="E168" s="27"/>
      <c r="F168" s="27" t="s">
        <v>50</v>
      </c>
      <c r="G168" s="30">
        <v>0.52800000000000002</v>
      </c>
      <c r="H168" s="32" t="s">
        <v>62</v>
      </c>
      <c r="I168" s="72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320</v>
      </c>
      <c r="E169" s="27"/>
      <c r="F169" s="27" t="s">
        <v>176</v>
      </c>
      <c r="G169" s="30">
        <v>2.0990000000000002</v>
      </c>
      <c r="H169" s="32" t="s">
        <v>62</v>
      </c>
      <c r="I169" s="72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35</v>
      </c>
      <c r="D170" s="27">
        <v>80</v>
      </c>
      <c r="E170" s="27"/>
      <c r="F170" s="27"/>
      <c r="G170" s="30">
        <v>0.33800000000000002</v>
      </c>
      <c r="H170" s="31" t="s">
        <v>34</v>
      </c>
      <c r="I170" s="39">
        <v>190000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5</v>
      </c>
      <c r="D171" s="27">
        <v>20</v>
      </c>
      <c r="E171" s="27"/>
      <c r="F171" s="27" t="s">
        <v>87</v>
      </c>
      <c r="G171" s="30">
        <v>0.13700000000000001</v>
      </c>
      <c r="H171" s="31"/>
      <c r="I171" s="38">
        <v>130000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153</v>
      </c>
      <c r="D172" s="27">
        <v>8</v>
      </c>
      <c r="E172" s="27"/>
      <c r="F172" s="27" t="s">
        <v>155</v>
      </c>
      <c r="G172" s="30">
        <v>0.1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153</v>
      </c>
      <c r="D173" s="27">
        <v>120</v>
      </c>
      <c r="E173" s="27"/>
      <c r="F173" s="27" t="s">
        <v>154</v>
      </c>
      <c r="G173" s="30">
        <v>0.66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63" t="s">
        <v>11</v>
      </c>
      <c r="C174" s="64" t="s">
        <v>261</v>
      </c>
      <c r="D174" s="64">
        <v>100</v>
      </c>
      <c r="E174" s="64"/>
      <c r="F174" s="64" t="s">
        <v>283</v>
      </c>
      <c r="G174" s="78">
        <v>17.195</v>
      </c>
      <c r="H174" s="76" t="s">
        <v>62</v>
      </c>
      <c r="I174" s="67">
        <v>750000</v>
      </c>
      <c r="J174" s="68" t="s">
        <v>56</v>
      </c>
      <c r="K174" s="14"/>
      <c r="L174" s="10"/>
    </row>
    <row r="175" spans="2:68" s="3" customFormat="1" ht="19.5" customHeight="1" x14ac:dyDescent="0.3">
      <c r="B175" s="63" t="s">
        <v>9</v>
      </c>
      <c r="C175" s="64" t="s">
        <v>261</v>
      </c>
      <c r="D175" s="64">
        <v>10</v>
      </c>
      <c r="E175" s="64"/>
      <c r="F175" s="64" t="s">
        <v>335</v>
      </c>
      <c r="G175" s="78">
        <v>4.7E-2</v>
      </c>
      <c r="H175" s="76"/>
      <c r="I175" s="67">
        <v>1350000</v>
      </c>
      <c r="J175" s="68" t="s">
        <v>56</v>
      </c>
      <c r="K175" s="14"/>
      <c r="L175" s="10"/>
    </row>
    <row r="176" spans="2:68" s="3" customFormat="1" ht="19.5" customHeight="1" x14ac:dyDescent="0.3">
      <c r="B176" s="63" t="s">
        <v>9</v>
      </c>
      <c r="C176" s="64" t="s">
        <v>261</v>
      </c>
      <c r="D176" s="64">
        <v>18</v>
      </c>
      <c r="E176" s="64"/>
      <c r="F176" s="64" t="s">
        <v>335</v>
      </c>
      <c r="G176" s="78">
        <v>5.8000000000000003E-2</v>
      </c>
      <c r="H176" s="76"/>
      <c r="I176" s="67">
        <v>1350000</v>
      </c>
      <c r="J176" s="68" t="s">
        <v>56</v>
      </c>
      <c r="K176" s="14"/>
      <c r="L176" s="10"/>
    </row>
    <row r="177" spans="2:21" s="3" customFormat="1" ht="19.5" customHeight="1" x14ac:dyDescent="0.3">
      <c r="B177" s="63" t="s">
        <v>9</v>
      </c>
      <c r="C177" s="64" t="s">
        <v>261</v>
      </c>
      <c r="D177" s="64">
        <v>20</v>
      </c>
      <c r="E177" s="64"/>
      <c r="F177" s="64" t="s">
        <v>335</v>
      </c>
      <c r="G177" s="78">
        <v>3.7999999999999999E-2</v>
      </c>
      <c r="H177" s="76"/>
      <c r="I177" s="67">
        <v>1300000</v>
      </c>
      <c r="J177" s="68" t="s">
        <v>56</v>
      </c>
      <c r="K177" s="14"/>
      <c r="L177" s="10"/>
    </row>
    <row r="178" spans="2:21" s="3" customFormat="1" ht="19.5" customHeight="1" x14ac:dyDescent="0.3">
      <c r="B178" s="63" t="s">
        <v>9</v>
      </c>
      <c r="C178" s="64" t="s">
        <v>261</v>
      </c>
      <c r="D178" s="64">
        <v>25</v>
      </c>
      <c r="E178" s="64"/>
      <c r="F178" s="64" t="s">
        <v>335</v>
      </c>
      <c r="G178" s="78">
        <v>5.6000000000000001E-2</v>
      </c>
      <c r="H178" s="76"/>
      <c r="I178" s="67">
        <v>1350000</v>
      </c>
      <c r="J178" s="68" t="s">
        <v>56</v>
      </c>
      <c r="K178" s="14"/>
      <c r="L178" s="10"/>
    </row>
    <row r="179" spans="2:21" s="3" customFormat="1" ht="19.5" customHeight="1" x14ac:dyDescent="0.3">
      <c r="B179" s="63" t="s">
        <v>9</v>
      </c>
      <c r="C179" s="64" t="s">
        <v>261</v>
      </c>
      <c r="D179" s="64">
        <v>40</v>
      </c>
      <c r="E179" s="64"/>
      <c r="F179" s="86" t="s">
        <v>272</v>
      </c>
      <c r="G179" s="78">
        <v>3.3159999999999998</v>
      </c>
      <c r="H179" s="76" t="s">
        <v>58</v>
      </c>
      <c r="I179" s="67">
        <v>1350000</v>
      </c>
      <c r="J179" s="68" t="s">
        <v>56</v>
      </c>
      <c r="K179" s="14"/>
      <c r="L179" s="10"/>
    </row>
    <row r="180" spans="2:21" s="3" customFormat="1" ht="19.5" customHeight="1" x14ac:dyDescent="0.3">
      <c r="B180" s="63" t="s">
        <v>9</v>
      </c>
      <c r="C180" s="64" t="s">
        <v>261</v>
      </c>
      <c r="D180" s="64">
        <v>42</v>
      </c>
      <c r="E180" s="64"/>
      <c r="F180" s="86" t="s">
        <v>272</v>
      </c>
      <c r="G180" s="78">
        <v>2.8279999999999998</v>
      </c>
      <c r="H180" s="76" t="s">
        <v>58</v>
      </c>
      <c r="I180" s="67">
        <v>1350000</v>
      </c>
      <c r="J180" s="68" t="s">
        <v>56</v>
      </c>
      <c r="K180" s="14"/>
      <c r="L180" s="10"/>
    </row>
    <row r="181" spans="2:21" s="3" customFormat="1" ht="19.5" customHeight="1" x14ac:dyDescent="0.3">
      <c r="B181" s="63" t="s">
        <v>9</v>
      </c>
      <c r="C181" s="64" t="s">
        <v>261</v>
      </c>
      <c r="D181" s="64">
        <v>45</v>
      </c>
      <c r="E181" s="64"/>
      <c r="F181" s="86" t="s">
        <v>272</v>
      </c>
      <c r="G181" s="78">
        <v>2.9740000000000002</v>
      </c>
      <c r="H181" s="76" t="s">
        <v>58</v>
      </c>
      <c r="I181" s="67">
        <v>1350000</v>
      </c>
      <c r="J181" s="68" t="s">
        <v>56</v>
      </c>
      <c r="K181" s="14"/>
      <c r="L181" s="10"/>
    </row>
    <row r="182" spans="2:21" s="3" customFormat="1" ht="19.5" customHeight="1" x14ac:dyDescent="0.3">
      <c r="B182" s="63" t="s">
        <v>9</v>
      </c>
      <c r="C182" s="64" t="s">
        <v>261</v>
      </c>
      <c r="D182" s="64">
        <v>48</v>
      </c>
      <c r="E182" s="64"/>
      <c r="F182" s="86" t="s">
        <v>272</v>
      </c>
      <c r="G182" s="78">
        <v>2.9460000000000002</v>
      </c>
      <c r="H182" s="76" t="s">
        <v>58</v>
      </c>
      <c r="I182" s="67">
        <v>1300000</v>
      </c>
      <c r="J182" s="68" t="s">
        <v>56</v>
      </c>
      <c r="K182" s="14"/>
      <c r="L182" s="10"/>
    </row>
    <row r="183" spans="2:21" s="3" customFormat="1" ht="19.5" customHeight="1" x14ac:dyDescent="0.3">
      <c r="B183" s="63" t="s">
        <v>9</v>
      </c>
      <c r="C183" s="64" t="s">
        <v>261</v>
      </c>
      <c r="D183" s="64">
        <v>50</v>
      </c>
      <c r="E183" s="64"/>
      <c r="F183" s="86" t="s">
        <v>272</v>
      </c>
      <c r="G183" s="78">
        <v>2.93</v>
      </c>
      <c r="H183" s="76" t="s">
        <v>58</v>
      </c>
      <c r="I183" s="67">
        <v>1300000</v>
      </c>
      <c r="J183" s="68" t="s">
        <v>56</v>
      </c>
      <c r="K183" s="14"/>
      <c r="L183" s="10"/>
    </row>
    <row r="184" spans="2:21" s="3" customFormat="1" ht="19.5" customHeight="1" x14ac:dyDescent="0.3">
      <c r="B184" s="63" t="s">
        <v>9</v>
      </c>
      <c r="C184" s="64" t="s">
        <v>261</v>
      </c>
      <c r="D184" s="64">
        <v>52</v>
      </c>
      <c r="E184" s="64"/>
      <c r="F184" s="86" t="s">
        <v>272</v>
      </c>
      <c r="G184" s="78">
        <v>3.3620000000000001</v>
      </c>
      <c r="H184" s="76" t="s">
        <v>58</v>
      </c>
      <c r="I184" s="67">
        <v>1300000</v>
      </c>
      <c r="J184" s="68" t="s">
        <v>56</v>
      </c>
      <c r="K184" s="14"/>
      <c r="L184" s="10"/>
    </row>
    <row r="185" spans="2:21" s="3" customFormat="1" ht="19.5" customHeight="1" x14ac:dyDescent="0.3">
      <c r="B185" s="63" t="s">
        <v>9</v>
      </c>
      <c r="C185" s="64" t="s">
        <v>261</v>
      </c>
      <c r="D185" s="64">
        <v>56</v>
      </c>
      <c r="E185" s="64"/>
      <c r="F185" s="86" t="s">
        <v>272</v>
      </c>
      <c r="G185" s="78">
        <v>2.9460000000000002</v>
      </c>
      <c r="H185" s="76" t="s">
        <v>58</v>
      </c>
      <c r="I185" s="67">
        <v>1300000</v>
      </c>
      <c r="J185" s="68" t="s">
        <v>56</v>
      </c>
      <c r="K185" s="14"/>
      <c r="L185" s="10"/>
    </row>
    <row r="186" spans="2:21" s="75" customFormat="1" ht="19.5" customHeight="1" x14ac:dyDescent="0.3">
      <c r="B186" s="63" t="s">
        <v>9</v>
      </c>
      <c r="C186" s="64" t="s">
        <v>261</v>
      </c>
      <c r="D186" s="64">
        <v>60</v>
      </c>
      <c r="E186" s="64"/>
      <c r="F186" s="86" t="s">
        <v>272</v>
      </c>
      <c r="G186" s="78">
        <v>2.5110000000000001</v>
      </c>
      <c r="H186" s="76" t="s">
        <v>62</v>
      </c>
      <c r="I186" s="67">
        <v>925000</v>
      </c>
      <c r="J186" s="68" t="s">
        <v>56</v>
      </c>
      <c r="K186" s="14"/>
      <c r="L186" s="109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5" customFormat="1" ht="19.5" customHeight="1" x14ac:dyDescent="0.3">
      <c r="B187" s="63" t="s">
        <v>9</v>
      </c>
      <c r="C187" s="64" t="s">
        <v>261</v>
      </c>
      <c r="D187" s="64">
        <v>80</v>
      </c>
      <c r="E187" s="64"/>
      <c r="F187" s="86" t="s">
        <v>272</v>
      </c>
      <c r="G187" s="78">
        <v>3.79</v>
      </c>
      <c r="H187" s="76" t="s">
        <v>62</v>
      </c>
      <c r="I187" s="67">
        <v>1100000</v>
      </c>
      <c r="J187" s="68" t="s">
        <v>56</v>
      </c>
      <c r="K187" s="14"/>
      <c r="L187" s="109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5" customFormat="1" ht="19.5" customHeight="1" x14ac:dyDescent="0.3">
      <c r="B188" s="63" t="s">
        <v>9</v>
      </c>
      <c r="C188" s="64" t="s">
        <v>261</v>
      </c>
      <c r="D188" s="64">
        <v>100</v>
      </c>
      <c r="E188" s="64"/>
      <c r="F188" s="86" t="s">
        <v>272</v>
      </c>
      <c r="G188" s="78">
        <v>4.3689999999999998</v>
      </c>
      <c r="H188" s="76" t="s">
        <v>62</v>
      </c>
      <c r="I188" s="67">
        <v>925000</v>
      </c>
      <c r="J188" s="68" t="s">
        <v>56</v>
      </c>
      <c r="K188" s="14"/>
      <c r="L188" s="109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5" customFormat="1" ht="19.5" customHeight="1" x14ac:dyDescent="0.3">
      <c r="B189" s="63" t="s">
        <v>9</v>
      </c>
      <c r="C189" s="64" t="s">
        <v>261</v>
      </c>
      <c r="D189" s="64">
        <v>110</v>
      </c>
      <c r="E189" s="64"/>
      <c r="F189" s="86" t="s">
        <v>272</v>
      </c>
      <c r="G189" s="78">
        <v>3.8130000000000002</v>
      </c>
      <c r="H189" s="76" t="s">
        <v>62</v>
      </c>
      <c r="I189" s="67">
        <v>925000</v>
      </c>
      <c r="J189" s="68" t="s">
        <v>56</v>
      </c>
      <c r="K189" s="14"/>
      <c r="L189" s="109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5" customFormat="1" ht="19.5" customHeight="1" x14ac:dyDescent="0.3">
      <c r="B190" s="63" t="s">
        <v>9</v>
      </c>
      <c r="C190" s="64" t="s">
        <v>261</v>
      </c>
      <c r="D190" s="64">
        <v>120</v>
      </c>
      <c r="E190" s="64"/>
      <c r="F190" s="86" t="s">
        <v>272</v>
      </c>
      <c r="G190" s="78">
        <v>4.1210000000000004</v>
      </c>
      <c r="H190" s="76" t="s">
        <v>62</v>
      </c>
      <c r="I190" s="67">
        <v>925000</v>
      </c>
      <c r="J190" s="68" t="s">
        <v>56</v>
      </c>
      <c r="K190" s="14"/>
      <c r="L190" s="109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5" customFormat="1" ht="19.5" customHeight="1" x14ac:dyDescent="0.3">
      <c r="B191" s="63" t="s">
        <v>9</v>
      </c>
      <c r="C191" s="64" t="s">
        <v>261</v>
      </c>
      <c r="D191" s="64">
        <v>130</v>
      </c>
      <c r="E191" s="64"/>
      <c r="F191" s="86" t="s">
        <v>272</v>
      </c>
      <c r="G191" s="78">
        <v>4.282</v>
      </c>
      <c r="H191" s="76" t="s">
        <v>62</v>
      </c>
      <c r="I191" s="67">
        <v>925000</v>
      </c>
      <c r="J191" s="68" t="s">
        <v>56</v>
      </c>
      <c r="K191" s="14"/>
      <c r="L191" s="109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5" customFormat="1" ht="19.5" customHeight="1" x14ac:dyDescent="0.3">
      <c r="B192" s="63" t="s">
        <v>9</v>
      </c>
      <c r="C192" s="64" t="s">
        <v>261</v>
      </c>
      <c r="D192" s="64">
        <v>150</v>
      </c>
      <c r="E192" s="64"/>
      <c r="F192" s="86" t="s">
        <v>272</v>
      </c>
      <c r="G192" s="78">
        <v>3.6440000000000001</v>
      </c>
      <c r="H192" s="76" t="s">
        <v>62</v>
      </c>
      <c r="I192" s="67">
        <v>1100000</v>
      </c>
      <c r="J192" s="68" t="s">
        <v>56</v>
      </c>
      <c r="K192" s="14"/>
      <c r="L192" s="109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5" customFormat="1" ht="19.5" customHeight="1" x14ac:dyDescent="0.3">
      <c r="B193" s="63" t="s">
        <v>9</v>
      </c>
      <c r="C193" s="64" t="s">
        <v>261</v>
      </c>
      <c r="D193" s="64">
        <v>160</v>
      </c>
      <c r="E193" s="64"/>
      <c r="F193" s="86" t="s">
        <v>272</v>
      </c>
      <c r="G193" s="78">
        <v>3.222</v>
      </c>
      <c r="H193" s="76" t="s">
        <v>62</v>
      </c>
      <c r="I193" s="67">
        <v>1100000</v>
      </c>
      <c r="J193" s="68" t="s">
        <v>56</v>
      </c>
      <c r="K193" s="14"/>
      <c r="L193" s="109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5" customFormat="1" ht="19.5" customHeight="1" x14ac:dyDescent="0.3">
      <c r="B194" s="63" t="s">
        <v>9</v>
      </c>
      <c r="C194" s="64" t="s">
        <v>261</v>
      </c>
      <c r="D194" s="64">
        <v>180</v>
      </c>
      <c r="E194" s="64"/>
      <c r="F194" s="86" t="s">
        <v>272</v>
      </c>
      <c r="G194" s="78">
        <v>3.89</v>
      </c>
      <c r="H194" s="76" t="s">
        <v>62</v>
      </c>
      <c r="I194" s="67">
        <v>925000</v>
      </c>
      <c r="J194" s="68" t="s">
        <v>56</v>
      </c>
      <c r="K194" s="14"/>
      <c r="L194" s="109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5" customFormat="1" ht="19.5" customHeight="1" x14ac:dyDescent="0.3">
      <c r="B195" s="63" t="s">
        <v>9</v>
      </c>
      <c r="C195" s="64" t="s">
        <v>261</v>
      </c>
      <c r="D195" s="64">
        <v>200</v>
      </c>
      <c r="E195" s="64"/>
      <c r="F195" s="86" t="s">
        <v>272</v>
      </c>
      <c r="G195" s="78">
        <v>2.5619999999999998</v>
      </c>
      <c r="H195" s="76" t="s">
        <v>62</v>
      </c>
      <c r="I195" s="67">
        <v>1100000</v>
      </c>
      <c r="J195" s="68" t="s">
        <v>56</v>
      </c>
      <c r="K195" s="14"/>
      <c r="L195" s="109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3" customFormat="1" ht="19.5" customHeight="1" x14ac:dyDescent="0.3">
      <c r="B196" s="26" t="s">
        <v>9</v>
      </c>
      <c r="C196" s="27" t="s">
        <v>70</v>
      </c>
      <c r="D196" s="27">
        <v>50</v>
      </c>
      <c r="E196" s="27"/>
      <c r="F196" s="27" t="s">
        <v>156</v>
      </c>
      <c r="G196" s="30">
        <v>7.5999999999999998E-2</v>
      </c>
      <c r="H196" s="31" t="s">
        <v>34</v>
      </c>
      <c r="I196" s="38">
        <v>200000</v>
      </c>
      <c r="J196" s="29" t="s">
        <v>56</v>
      </c>
      <c r="K196" s="14"/>
      <c r="L196" s="10"/>
    </row>
    <row r="197" spans="2:68" s="3" customFormat="1" ht="19.5" customHeight="1" x14ac:dyDescent="0.3">
      <c r="B197" s="26" t="s">
        <v>9</v>
      </c>
      <c r="C197" s="27" t="s">
        <v>48</v>
      </c>
      <c r="D197" s="27">
        <v>26</v>
      </c>
      <c r="E197" s="27"/>
      <c r="F197" s="27"/>
      <c r="G197" s="30">
        <v>0.48</v>
      </c>
      <c r="H197" s="31" t="s">
        <v>34</v>
      </c>
      <c r="I197" s="38">
        <v>76000</v>
      </c>
      <c r="J197" s="29" t="s">
        <v>56</v>
      </c>
      <c r="K197" s="12"/>
      <c r="L197" s="10"/>
    </row>
    <row r="198" spans="2:68" s="3" customFormat="1" ht="19.5" customHeight="1" x14ac:dyDescent="0.3">
      <c r="B198" s="26" t="s">
        <v>9</v>
      </c>
      <c r="C198" s="27" t="s">
        <v>88</v>
      </c>
      <c r="D198" s="27">
        <v>40</v>
      </c>
      <c r="E198" s="27"/>
      <c r="F198" s="27"/>
      <c r="G198" s="30">
        <v>0.59099999999999997</v>
      </c>
      <c r="H198" s="31"/>
      <c r="I198" s="38">
        <v>80000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3</v>
      </c>
      <c r="D199" s="27">
        <v>120</v>
      </c>
      <c r="E199" s="27" t="s">
        <v>370</v>
      </c>
      <c r="F199" s="27" t="s">
        <v>40</v>
      </c>
      <c r="G199" s="30">
        <v>0.61599999999999999</v>
      </c>
      <c r="H199" s="28" t="s">
        <v>60</v>
      </c>
      <c r="I199" s="38">
        <v>110000</v>
      </c>
      <c r="J199" s="29" t="s">
        <v>56</v>
      </c>
      <c r="K199" s="52"/>
      <c r="L199" s="10"/>
    </row>
    <row r="200" spans="2:68" s="46" customFormat="1" ht="19.5" customHeight="1" x14ac:dyDescent="0.3">
      <c r="B200" s="26" t="s">
        <v>9</v>
      </c>
      <c r="C200" s="27" t="s">
        <v>68</v>
      </c>
      <c r="D200" s="27">
        <v>180</v>
      </c>
      <c r="E200" s="27"/>
      <c r="F200" s="27" t="s">
        <v>162</v>
      </c>
      <c r="G200" s="30">
        <v>0.74</v>
      </c>
      <c r="H200" s="31" t="s">
        <v>61</v>
      </c>
      <c r="I200" s="38">
        <v>165000</v>
      </c>
      <c r="J200" s="29" t="s">
        <v>56</v>
      </c>
      <c r="K200" s="1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2:68" s="2" customFormat="1" ht="19.5" customHeight="1" x14ac:dyDescent="0.3">
      <c r="B201" s="26" t="s">
        <v>9</v>
      </c>
      <c r="C201" s="27" t="s">
        <v>29</v>
      </c>
      <c r="D201" s="27">
        <v>20</v>
      </c>
      <c r="E201" s="27"/>
      <c r="F201" s="27"/>
      <c r="G201" s="30">
        <v>0.104</v>
      </c>
      <c r="H201" s="31" t="s">
        <v>34</v>
      </c>
      <c r="I201" s="38">
        <v>165000</v>
      </c>
      <c r="J201" s="29" t="s">
        <v>56</v>
      </c>
      <c r="K201" s="12"/>
      <c r="L201" s="10"/>
    </row>
    <row r="202" spans="2:68" s="2" customFormat="1" ht="19.5" customHeight="1" x14ac:dyDescent="0.3">
      <c r="B202" s="26" t="s">
        <v>9</v>
      </c>
      <c r="C202" s="27" t="s">
        <v>275</v>
      </c>
      <c r="D202" s="27">
        <v>60</v>
      </c>
      <c r="E202" s="27"/>
      <c r="F202" s="27" t="s">
        <v>276</v>
      </c>
      <c r="G202" s="30">
        <v>9.3610000000000007</v>
      </c>
      <c r="H202" s="31" t="s">
        <v>63</v>
      </c>
      <c r="I202" s="38">
        <v>240000</v>
      </c>
      <c r="J202" s="29" t="s">
        <v>56</v>
      </c>
      <c r="K202" s="14"/>
      <c r="L202" s="10"/>
    </row>
    <row r="203" spans="2:68" s="3" customFormat="1" ht="19.5" customHeight="1" x14ac:dyDescent="0.3">
      <c r="B203" s="26" t="s">
        <v>9</v>
      </c>
      <c r="C203" s="27" t="s">
        <v>46</v>
      </c>
      <c r="D203" s="27">
        <v>18</v>
      </c>
      <c r="E203" s="27"/>
      <c r="F203" s="27" t="s">
        <v>121</v>
      </c>
      <c r="G203" s="30">
        <v>0.79800000000000004</v>
      </c>
      <c r="H203" s="31" t="s">
        <v>60</v>
      </c>
      <c r="I203" s="38">
        <v>140000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56</v>
      </c>
      <c r="E204" s="27"/>
      <c r="F204" s="27" t="s">
        <v>51</v>
      </c>
      <c r="G204" s="30">
        <v>0.27600000000000002</v>
      </c>
      <c r="H204" s="31" t="s">
        <v>34</v>
      </c>
      <c r="I204" s="38">
        <v>70000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80</v>
      </c>
      <c r="E205" s="27"/>
      <c r="F205" s="27" t="s">
        <v>122</v>
      </c>
      <c r="G205" s="30">
        <v>2.3540000000000001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100</v>
      </c>
      <c r="E206" s="27"/>
      <c r="F206" s="27" t="s">
        <v>122</v>
      </c>
      <c r="G206" s="30">
        <v>0.39500000000000002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</v>
      </c>
      <c r="E207" s="26" t="s">
        <v>369</v>
      </c>
      <c r="F207" s="27" t="s">
        <v>164</v>
      </c>
      <c r="G207" s="30">
        <v>0.98</v>
      </c>
      <c r="H207" s="31" t="s">
        <v>61</v>
      </c>
      <c r="I207" s="38">
        <v>190000</v>
      </c>
      <c r="J207" s="29" t="s">
        <v>56</v>
      </c>
      <c r="K207" s="14"/>
      <c r="L207" s="8"/>
    </row>
    <row r="208" spans="2:68" s="3" customFormat="1" ht="19.5" customHeight="1" x14ac:dyDescent="0.3">
      <c r="B208" s="63" t="s">
        <v>9</v>
      </c>
      <c r="C208" s="64" t="s">
        <v>46</v>
      </c>
      <c r="D208" s="64">
        <v>10</v>
      </c>
      <c r="E208" s="63"/>
      <c r="F208" s="64" t="s">
        <v>406</v>
      </c>
      <c r="G208" s="78">
        <v>2.5499999999999998</v>
      </c>
      <c r="H208" s="77" t="s">
        <v>60</v>
      </c>
      <c r="I208" s="67">
        <v>300000</v>
      </c>
      <c r="J208" s="68" t="s">
        <v>56</v>
      </c>
      <c r="K208" s="14"/>
      <c r="L208" s="8"/>
    </row>
    <row r="209" spans="2:21" s="3" customFormat="1" ht="19.5" customHeight="1" x14ac:dyDescent="0.3">
      <c r="B209" s="63" t="s">
        <v>9</v>
      </c>
      <c r="C209" s="64" t="s">
        <v>46</v>
      </c>
      <c r="D209" s="64">
        <v>12</v>
      </c>
      <c r="E209" s="63"/>
      <c r="F209" s="64" t="s">
        <v>406</v>
      </c>
      <c r="G209" s="78">
        <v>0.496</v>
      </c>
      <c r="H209" s="77" t="s">
        <v>60</v>
      </c>
      <c r="I209" s="67">
        <v>300000</v>
      </c>
      <c r="J209" s="68" t="s">
        <v>56</v>
      </c>
      <c r="K209" s="14"/>
      <c r="L209" s="8"/>
    </row>
    <row r="210" spans="2:21" s="3" customFormat="1" ht="19.5" customHeight="1" x14ac:dyDescent="0.3">
      <c r="B210" s="63" t="s">
        <v>9</v>
      </c>
      <c r="C210" s="64" t="s">
        <v>46</v>
      </c>
      <c r="D210" s="64">
        <v>14</v>
      </c>
      <c r="E210" s="63"/>
      <c r="F210" s="64" t="s">
        <v>406</v>
      </c>
      <c r="G210" s="78">
        <v>2.39</v>
      </c>
      <c r="H210" s="77" t="s">
        <v>60</v>
      </c>
      <c r="I210" s="67">
        <v>300000</v>
      </c>
      <c r="J210" s="68" t="s">
        <v>56</v>
      </c>
      <c r="K210" s="14"/>
      <c r="L210" s="8"/>
    </row>
    <row r="211" spans="2:21" s="3" customFormat="1" ht="19.5" customHeight="1" x14ac:dyDescent="0.3">
      <c r="B211" s="63" t="s">
        <v>9</v>
      </c>
      <c r="C211" s="64" t="s">
        <v>46</v>
      </c>
      <c r="D211" s="64">
        <v>10</v>
      </c>
      <c r="E211" s="64"/>
      <c r="F211" s="64" t="s">
        <v>196</v>
      </c>
      <c r="G211" s="78">
        <v>1.675</v>
      </c>
      <c r="H211" s="77" t="s">
        <v>60</v>
      </c>
      <c r="I211" s="67">
        <v>170000</v>
      </c>
      <c r="J211" s="68" t="s">
        <v>56</v>
      </c>
      <c r="K211" s="14"/>
      <c r="L211" s="8"/>
    </row>
    <row r="212" spans="2:21" s="75" customFormat="1" ht="19.5" customHeight="1" x14ac:dyDescent="0.3">
      <c r="B212" s="63" t="s">
        <v>9</v>
      </c>
      <c r="C212" s="64" t="s">
        <v>46</v>
      </c>
      <c r="D212" s="64">
        <v>12</v>
      </c>
      <c r="E212" s="64"/>
      <c r="F212" s="64" t="s">
        <v>196</v>
      </c>
      <c r="G212" s="78">
        <v>1.976</v>
      </c>
      <c r="H212" s="77" t="s">
        <v>60</v>
      </c>
      <c r="I212" s="67">
        <v>170000</v>
      </c>
      <c r="J212" s="68" t="s">
        <v>56</v>
      </c>
      <c r="K212" s="14"/>
      <c r="L212" s="8"/>
      <c r="M212" s="3"/>
      <c r="N212" s="3"/>
      <c r="O212" s="3"/>
      <c r="P212" s="3"/>
      <c r="Q212" s="3"/>
      <c r="R212" s="3"/>
      <c r="S212" s="3"/>
      <c r="T212" s="3"/>
      <c r="U212" s="3"/>
    </row>
    <row r="213" spans="2:21" s="3" customFormat="1" ht="19.5" customHeight="1" x14ac:dyDescent="0.3">
      <c r="B213" s="26" t="s">
        <v>9</v>
      </c>
      <c r="C213" s="27" t="s">
        <v>46</v>
      </c>
      <c r="D213" s="27">
        <v>12</v>
      </c>
      <c r="E213" s="27"/>
      <c r="F213" s="27" t="s">
        <v>196</v>
      </c>
      <c r="G213" s="30">
        <v>4.5999999999999999E-2</v>
      </c>
      <c r="H213" s="31" t="s">
        <v>60</v>
      </c>
      <c r="I213" s="38">
        <v>170000</v>
      </c>
      <c r="J213" s="29" t="s">
        <v>56</v>
      </c>
      <c r="K213" s="14"/>
      <c r="L213" s="8"/>
    </row>
    <row r="214" spans="2:21" s="3" customFormat="1" ht="19.5" customHeight="1" x14ac:dyDescent="0.3">
      <c r="B214" s="63" t="s">
        <v>9</v>
      </c>
      <c r="C214" s="64" t="s">
        <v>46</v>
      </c>
      <c r="D214" s="64">
        <v>14</v>
      </c>
      <c r="E214" s="64"/>
      <c r="F214" s="64" t="s">
        <v>196</v>
      </c>
      <c r="G214" s="78">
        <v>4.3540000000000001</v>
      </c>
      <c r="H214" s="77" t="s">
        <v>60</v>
      </c>
      <c r="I214" s="67">
        <v>170000</v>
      </c>
      <c r="J214" s="68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16</v>
      </c>
      <c r="E215" s="27"/>
      <c r="F215" s="27" t="s">
        <v>196</v>
      </c>
      <c r="G215" s="30">
        <v>2.008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18</v>
      </c>
      <c r="E216" s="27"/>
      <c r="F216" s="27" t="s">
        <v>196</v>
      </c>
      <c r="G216" s="30">
        <v>1.4830000000000001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63" t="s">
        <v>9</v>
      </c>
      <c r="C217" s="64" t="s">
        <v>46</v>
      </c>
      <c r="D217" s="64">
        <v>20</v>
      </c>
      <c r="E217" s="64"/>
      <c r="F217" s="64" t="s">
        <v>196</v>
      </c>
      <c r="G217" s="78">
        <v>2.6560000000000001</v>
      </c>
      <c r="H217" s="77" t="s">
        <v>60</v>
      </c>
      <c r="I217" s="67">
        <v>170000</v>
      </c>
      <c r="J217" s="68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20</v>
      </c>
      <c r="E218" s="27"/>
      <c r="F218" s="27" t="s">
        <v>196</v>
      </c>
      <c r="G218" s="30">
        <v>18.018000000000001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3" t="s">
        <v>9</v>
      </c>
      <c r="C219" s="64" t="s">
        <v>46</v>
      </c>
      <c r="D219" s="64">
        <v>22</v>
      </c>
      <c r="E219" s="64"/>
      <c r="F219" s="64" t="s">
        <v>196</v>
      </c>
      <c r="G219" s="78">
        <v>2.093</v>
      </c>
      <c r="H219" s="77" t="s">
        <v>60</v>
      </c>
      <c r="I219" s="67">
        <v>170000</v>
      </c>
      <c r="J219" s="68" t="s">
        <v>56</v>
      </c>
      <c r="K219" s="14"/>
      <c r="L219" s="8"/>
    </row>
    <row r="220" spans="2:21" s="75" customFormat="1" ht="19.5" customHeight="1" x14ac:dyDescent="0.3">
      <c r="B220" s="63" t="s">
        <v>9</v>
      </c>
      <c r="C220" s="64" t="s">
        <v>46</v>
      </c>
      <c r="D220" s="64">
        <v>25</v>
      </c>
      <c r="E220" s="64"/>
      <c r="F220" s="64" t="s">
        <v>196</v>
      </c>
      <c r="G220" s="65">
        <v>3.1760000000000002</v>
      </c>
      <c r="H220" s="77" t="s">
        <v>60</v>
      </c>
      <c r="I220" s="67">
        <v>170000</v>
      </c>
      <c r="J220" s="68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28</v>
      </c>
      <c r="E221" s="27"/>
      <c r="F221" s="27" t="s">
        <v>196</v>
      </c>
      <c r="G221" s="30">
        <v>0.86099999999999999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75" customFormat="1" ht="19.5" customHeight="1" x14ac:dyDescent="0.3">
      <c r="B222" s="63" t="s">
        <v>9</v>
      </c>
      <c r="C222" s="64" t="s">
        <v>46</v>
      </c>
      <c r="D222" s="64">
        <v>28</v>
      </c>
      <c r="E222" s="64"/>
      <c r="F222" s="64" t="s">
        <v>196</v>
      </c>
      <c r="G222" s="65">
        <v>4.6440000000000001</v>
      </c>
      <c r="H222" s="77" t="s">
        <v>60</v>
      </c>
      <c r="I222" s="67">
        <v>170000</v>
      </c>
      <c r="J222" s="68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30</v>
      </c>
      <c r="E223" s="27"/>
      <c r="F223" s="27" t="s">
        <v>196</v>
      </c>
      <c r="G223" s="30">
        <v>6.8390000000000004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32</v>
      </c>
      <c r="E224" s="27"/>
      <c r="F224" s="27" t="s">
        <v>196</v>
      </c>
      <c r="G224" s="30">
        <v>4.8959999999999999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34</v>
      </c>
      <c r="E225" s="27"/>
      <c r="F225" s="27" t="s">
        <v>196</v>
      </c>
      <c r="G225" s="30">
        <v>3.7309999999999999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35</v>
      </c>
      <c r="E226" s="27"/>
      <c r="F226" s="27" t="s">
        <v>196</v>
      </c>
      <c r="G226" s="30">
        <v>2.3740000000000001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36</v>
      </c>
      <c r="E227" s="27"/>
      <c r="F227" s="27" t="s">
        <v>196</v>
      </c>
      <c r="G227" s="30">
        <v>9.859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38</v>
      </c>
      <c r="E228" s="27"/>
      <c r="F228" s="27" t="s">
        <v>196</v>
      </c>
      <c r="G228" s="30">
        <v>2.149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40</v>
      </c>
      <c r="E229" s="27"/>
      <c r="F229" s="27" t="s">
        <v>196</v>
      </c>
      <c r="G229" s="30">
        <v>6.2119999999999997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42</v>
      </c>
      <c r="E230" s="27"/>
      <c r="F230" s="27" t="s">
        <v>196</v>
      </c>
      <c r="G230" s="30">
        <v>3.9660000000000002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45</v>
      </c>
      <c r="E231" s="27"/>
      <c r="F231" s="27" t="s">
        <v>196</v>
      </c>
      <c r="G231" s="30">
        <v>1.9790000000000001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48</v>
      </c>
      <c r="E232" s="27"/>
      <c r="F232" s="27" t="s">
        <v>196</v>
      </c>
      <c r="G232" s="30">
        <v>5.3849999999999998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50</v>
      </c>
      <c r="E233" s="27"/>
      <c r="F233" s="27" t="s">
        <v>196</v>
      </c>
      <c r="G233" s="30">
        <v>3.3180000000000001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52</v>
      </c>
      <c r="E234" s="27"/>
      <c r="F234" s="27" t="s">
        <v>196</v>
      </c>
      <c r="G234" s="30">
        <v>1.845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56</v>
      </c>
      <c r="E235" s="27"/>
      <c r="F235" s="27" t="s">
        <v>196</v>
      </c>
      <c r="G235" s="30">
        <v>5.6269999999999998</v>
      </c>
      <c r="H235" s="31" t="s">
        <v>60</v>
      </c>
      <c r="I235" s="38">
        <v>140000</v>
      </c>
      <c r="J235" s="29" t="s">
        <v>56</v>
      </c>
      <c r="K235" s="14"/>
      <c r="L235" s="8"/>
      <c r="N235" s="3" t="s">
        <v>6</v>
      </c>
    </row>
    <row r="236" spans="2:14" s="3" customFormat="1" ht="19.5" customHeight="1" x14ac:dyDescent="0.3">
      <c r="B236" s="26" t="s">
        <v>9</v>
      </c>
      <c r="C236" s="27" t="s">
        <v>46</v>
      </c>
      <c r="D236" s="27">
        <v>60</v>
      </c>
      <c r="E236" s="27"/>
      <c r="F236" s="27" t="s">
        <v>196</v>
      </c>
      <c r="G236" s="30">
        <v>16.917999999999999</v>
      </c>
      <c r="H236" s="31" t="s">
        <v>174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65</v>
      </c>
      <c r="E237" s="27"/>
      <c r="F237" s="27" t="s">
        <v>196</v>
      </c>
      <c r="G237" s="30">
        <v>1.893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68</v>
      </c>
      <c r="E238" s="27"/>
      <c r="F238" s="27" t="s">
        <v>196</v>
      </c>
      <c r="G238" s="30">
        <v>5.9950000000000001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70</v>
      </c>
      <c r="E239" s="27"/>
      <c r="F239" s="27" t="s">
        <v>196</v>
      </c>
      <c r="G239" s="30">
        <v>0.30499999999999999</v>
      </c>
      <c r="H239" s="31"/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75</v>
      </c>
      <c r="E240" s="27"/>
      <c r="F240" s="27" t="s">
        <v>196</v>
      </c>
      <c r="G240" s="30">
        <v>4.6429999999999998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80</v>
      </c>
      <c r="E241" s="27"/>
      <c r="F241" s="27" t="s">
        <v>196</v>
      </c>
      <c r="G241" s="30">
        <v>2.5790000000000002</v>
      </c>
      <c r="H241" s="31" t="s">
        <v>61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85</v>
      </c>
      <c r="E242" s="27"/>
      <c r="F242" s="27" t="s">
        <v>196</v>
      </c>
      <c r="G242" s="30">
        <v>5.5E-2</v>
      </c>
      <c r="H242" s="31" t="s">
        <v>60</v>
      </c>
      <c r="I242" s="38">
        <v>170000</v>
      </c>
      <c r="J242" s="29" t="s">
        <v>56</v>
      </c>
      <c r="K242" s="14"/>
      <c r="L242" s="8"/>
    </row>
    <row r="243" spans="2:21" s="3" customFormat="1" ht="19.5" customHeight="1" x14ac:dyDescent="0.3">
      <c r="B243" s="63" t="s">
        <v>9</v>
      </c>
      <c r="C243" s="64" t="s">
        <v>46</v>
      </c>
      <c r="D243" s="64">
        <v>85</v>
      </c>
      <c r="E243" s="64"/>
      <c r="F243" s="64" t="s">
        <v>196</v>
      </c>
      <c r="G243" s="78">
        <v>0.8</v>
      </c>
      <c r="H243" s="77" t="s">
        <v>60</v>
      </c>
      <c r="I243" s="67">
        <v>170000</v>
      </c>
      <c r="J243" s="68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90</v>
      </c>
      <c r="E244" s="27"/>
      <c r="F244" s="27" t="s">
        <v>196</v>
      </c>
      <c r="G244" s="30">
        <v>5.2549999999999999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100</v>
      </c>
      <c r="E245" s="27"/>
      <c r="F245" s="27" t="s">
        <v>196</v>
      </c>
      <c r="G245" s="30">
        <v>4.3769999999999998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110</v>
      </c>
      <c r="E246" s="27"/>
      <c r="F246" s="27" t="s">
        <v>196</v>
      </c>
      <c r="G246" s="30">
        <v>5.6980000000000004</v>
      </c>
      <c r="H246" s="31" t="s">
        <v>60</v>
      </c>
      <c r="I246" s="38">
        <v>140000</v>
      </c>
      <c r="J246" s="29" t="s">
        <v>56</v>
      </c>
      <c r="K246" s="14"/>
      <c r="L246" s="8"/>
    </row>
    <row r="247" spans="2:21" s="75" customFormat="1" ht="19.5" customHeight="1" x14ac:dyDescent="0.3">
      <c r="B247" s="63" t="s">
        <v>9</v>
      </c>
      <c r="C247" s="64" t="s">
        <v>46</v>
      </c>
      <c r="D247" s="64">
        <v>120</v>
      </c>
      <c r="E247" s="64"/>
      <c r="F247" s="64" t="s">
        <v>196</v>
      </c>
      <c r="G247" s="78">
        <v>3.1</v>
      </c>
      <c r="H247" s="77" t="s">
        <v>60</v>
      </c>
      <c r="I247" s="67">
        <v>140000</v>
      </c>
      <c r="J247" s="68" t="s">
        <v>56</v>
      </c>
      <c r="K247" s="14"/>
      <c r="L247" s="8"/>
      <c r="M247" s="3"/>
      <c r="N247" s="3"/>
      <c r="O247" s="3"/>
      <c r="P247" s="3"/>
      <c r="Q247" s="3"/>
      <c r="R247" s="3"/>
      <c r="S247" s="3"/>
      <c r="T247" s="3"/>
      <c r="U247" s="3"/>
    </row>
    <row r="248" spans="2:21" s="3" customFormat="1" ht="19.5" customHeight="1" x14ac:dyDescent="0.3">
      <c r="B248" s="26" t="s">
        <v>9</v>
      </c>
      <c r="C248" s="27" t="s">
        <v>46</v>
      </c>
      <c r="D248" s="27">
        <v>130</v>
      </c>
      <c r="E248" s="27"/>
      <c r="F248" s="27" t="s">
        <v>196</v>
      </c>
      <c r="G248" s="30">
        <v>3.89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140</v>
      </c>
      <c r="E249" s="27"/>
      <c r="F249" s="27" t="s">
        <v>196</v>
      </c>
      <c r="G249" s="30">
        <v>3.3210000000000002</v>
      </c>
      <c r="H249" s="31" t="s">
        <v>174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150</v>
      </c>
      <c r="E250" s="27"/>
      <c r="F250" s="27" t="s">
        <v>196</v>
      </c>
      <c r="G250" s="30">
        <v>8.8010000000000002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160</v>
      </c>
      <c r="E251" s="27"/>
      <c r="F251" s="27" t="s">
        <v>196</v>
      </c>
      <c r="G251" s="30">
        <v>2.214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170</v>
      </c>
      <c r="E252" s="27"/>
      <c r="F252" s="27" t="s">
        <v>196</v>
      </c>
      <c r="G252" s="30">
        <v>1.2969999999999999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180</v>
      </c>
      <c r="E253" s="27"/>
      <c r="F253" s="27" t="s">
        <v>196</v>
      </c>
      <c r="G253" s="30">
        <v>8.6229999999999993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190</v>
      </c>
      <c r="E254" s="27"/>
      <c r="F254" s="27" t="s">
        <v>196</v>
      </c>
      <c r="G254" s="30">
        <v>3.9849999999999999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200</v>
      </c>
      <c r="E255" s="27"/>
      <c r="F255" s="27" t="s">
        <v>197</v>
      </c>
      <c r="G255" s="30">
        <v>13.999000000000001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234</v>
      </c>
      <c r="D256" s="27">
        <v>40</v>
      </c>
      <c r="E256" s="27"/>
      <c r="F256" s="27" t="s">
        <v>235</v>
      </c>
      <c r="G256" s="30">
        <v>1.4419999999999999</v>
      </c>
      <c r="H256" s="31" t="s">
        <v>60</v>
      </c>
      <c r="I256" s="38">
        <v>250000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234</v>
      </c>
      <c r="D257" s="27">
        <v>40</v>
      </c>
      <c r="E257" s="27"/>
      <c r="F257" s="27" t="s">
        <v>236</v>
      </c>
      <c r="G257" s="30">
        <v>0.65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12</v>
      </c>
      <c r="E258" s="27"/>
      <c r="F258" s="27" t="s">
        <v>95</v>
      </c>
      <c r="G258" s="30">
        <v>0.63400000000000001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14</v>
      </c>
      <c r="E259" s="27"/>
      <c r="F259" s="27" t="s">
        <v>95</v>
      </c>
      <c r="G259" s="30">
        <v>3.8559999999999999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16</v>
      </c>
      <c r="E260" s="27"/>
      <c r="F260" s="27" t="s">
        <v>95</v>
      </c>
      <c r="G260" s="30">
        <v>3.9580000000000002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18</v>
      </c>
      <c r="E261" s="27"/>
      <c r="F261" s="27" t="s">
        <v>95</v>
      </c>
      <c r="G261" s="30">
        <v>4.0170000000000003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20</v>
      </c>
      <c r="E262" s="27"/>
      <c r="F262" s="27" t="s">
        <v>182</v>
      </c>
      <c r="G262" s="30">
        <v>3.1709999999999998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22</v>
      </c>
      <c r="E263" s="27"/>
      <c r="F263" s="27" t="s">
        <v>180</v>
      </c>
      <c r="G263" s="30">
        <v>3.31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25</v>
      </c>
      <c r="E264" s="27"/>
      <c r="F264" s="27" t="s">
        <v>180</v>
      </c>
      <c r="G264" s="30">
        <v>2.488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28</v>
      </c>
      <c r="E265" s="27"/>
      <c r="F265" s="27" t="s">
        <v>180</v>
      </c>
      <c r="G265" s="30">
        <v>1.8859999999999999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30</v>
      </c>
      <c r="E266" s="27"/>
      <c r="F266" s="27" t="s">
        <v>250</v>
      </c>
      <c r="G266" s="30">
        <v>1.8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36</v>
      </c>
      <c r="E267" s="27"/>
      <c r="F267" s="27" t="s">
        <v>143</v>
      </c>
      <c r="G267" s="30">
        <v>0.25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143</v>
      </c>
      <c r="G268" s="30">
        <v>2.6709999999999998</v>
      </c>
      <c r="H268" s="28" t="s">
        <v>61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40</v>
      </c>
      <c r="E269" s="27"/>
      <c r="F269" s="27" t="s">
        <v>143</v>
      </c>
      <c r="G269" s="30">
        <v>3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45</v>
      </c>
      <c r="E270" s="27"/>
      <c r="F270" s="27" t="s">
        <v>181</v>
      </c>
      <c r="G270" s="30">
        <v>0.14499999999999999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50</v>
      </c>
      <c r="E271" s="27"/>
      <c r="F271" s="27" t="s">
        <v>181</v>
      </c>
      <c r="G271" s="30">
        <v>2.8570000000000002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56</v>
      </c>
      <c r="E272" s="27"/>
      <c r="F272" s="27" t="s">
        <v>182</v>
      </c>
      <c r="G272" s="30">
        <v>3.7810000000000001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60</v>
      </c>
      <c r="E273" s="27"/>
      <c r="F273" s="27" t="s">
        <v>95</v>
      </c>
      <c r="G273" s="30">
        <v>3.5990000000000002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70</v>
      </c>
      <c r="E274" s="27"/>
      <c r="F274" s="27" t="s">
        <v>143</v>
      </c>
      <c r="G274" s="30">
        <v>0.97299999999999998</v>
      </c>
      <c r="H274" s="28" t="s">
        <v>60</v>
      </c>
      <c r="I274" s="38">
        <v>108000</v>
      </c>
      <c r="J274" s="29" t="s">
        <v>56</v>
      </c>
      <c r="K274" s="5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75</v>
      </c>
      <c r="E275" s="27"/>
      <c r="F275" s="27" t="s">
        <v>145</v>
      </c>
      <c r="G275" s="30">
        <v>26.407</v>
      </c>
      <c r="H275" s="28" t="s">
        <v>62</v>
      </c>
      <c r="I275" s="38">
        <v>106000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80</v>
      </c>
      <c r="E276" s="27"/>
      <c r="F276" s="27" t="s">
        <v>143</v>
      </c>
      <c r="G276" s="30">
        <v>2.181</v>
      </c>
      <c r="H276" s="28" t="s">
        <v>60</v>
      </c>
      <c r="I276" s="38">
        <v>108000</v>
      </c>
      <c r="J276" s="29" t="s">
        <v>56</v>
      </c>
      <c r="K276" s="12" t="s">
        <v>6</v>
      </c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90</v>
      </c>
      <c r="E277" s="27"/>
      <c r="F277" s="27" t="s">
        <v>220</v>
      </c>
      <c r="G277" s="30">
        <v>4.0170000000000003</v>
      </c>
      <c r="H277" s="28" t="s">
        <v>60</v>
      </c>
      <c r="I277" s="38">
        <v>108000</v>
      </c>
      <c r="J277" s="29" t="s">
        <v>56</v>
      </c>
      <c r="K277" s="12"/>
      <c r="L277" s="10"/>
    </row>
    <row r="278" spans="2:21" s="3" customFormat="1" ht="20.25" customHeight="1" x14ac:dyDescent="0.3">
      <c r="B278" s="26" t="s">
        <v>9</v>
      </c>
      <c r="C278" s="27" t="s">
        <v>1</v>
      </c>
      <c r="D278" s="27">
        <v>100</v>
      </c>
      <c r="E278" s="27"/>
      <c r="F278" s="27" t="s">
        <v>220</v>
      </c>
      <c r="G278" s="30">
        <v>0.81699999999999995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120</v>
      </c>
      <c r="E279" s="27"/>
      <c r="F279" s="27" t="s">
        <v>163</v>
      </c>
      <c r="G279" s="30">
        <v>2.7029999999999998</v>
      </c>
      <c r="H279" s="28" t="s">
        <v>58</v>
      </c>
      <c r="I279" s="38">
        <v>108000</v>
      </c>
      <c r="J279" s="29" t="s">
        <v>56</v>
      </c>
      <c r="K279" s="12"/>
      <c r="L279" s="10"/>
    </row>
    <row r="280" spans="2:21" s="75" customFormat="1" ht="19.5" customHeight="1" x14ac:dyDescent="0.3">
      <c r="B280" s="63" t="s">
        <v>9</v>
      </c>
      <c r="C280" s="64" t="s">
        <v>1</v>
      </c>
      <c r="D280" s="64">
        <v>130</v>
      </c>
      <c r="E280" s="64"/>
      <c r="F280" s="64" t="s">
        <v>252</v>
      </c>
      <c r="G280" s="78">
        <v>0.23</v>
      </c>
      <c r="H280" s="73" t="s">
        <v>207</v>
      </c>
      <c r="I280" s="67">
        <v>108000</v>
      </c>
      <c r="J280" s="68" t="s">
        <v>56</v>
      </c>
      <c r="K280" s="14"/>
      <c r="L280" s="10"/>
      <c r="M280" s="3"/>
      <c r="N280" s="3"/>
      <c r="O280" s="3"/>
      <c r="P280" s="3"/>
      <c r="Q280" s="3"/>
      <c r="R280" s="3"/>
      <c r="S280" s="3"/>
      <c r="T280" s="3"/>
      <c r="U280" s="3"/>
    </row>
    <row r="281" spans="2:21" s="3" customFormat="1" ht="19.5" customHeight="1" x14ac:dyDescent="0.3">
      <c r="B281" s="26" t="s">
        <v>9</v>
      </c>
      <c r="C281" s="27" t="s">
        <v>1</v>
      </c>
      <c r="D281" s="27">
        <v>150</v>
      </c>
      <c r="E281" s="27"/>
      <c r="F281" s="27"/>
      <c r="G281" s="30">
        <v>0.65500000000000003</v>
      </c>
      <c r="H281" s="28" t="s">
        <v>62</v>
      </c>
      <c r="I281" s="38">
        <v>108000</v>
      </c>
      <c r="J281" s="29" t="s">
        <v>56</v>
      </c>
      <c r="K281" s="12"/>
      <c r="L281" s="10"/>
    </row>
    <row r="282" spans="2:21" s="3" customFormat="1" ht="19.5" customHeight="1" x14ac:dyDescent="0.3">
      <c r="B282" s="26" t="s">
        <v>9</v>
      </c>
      <c r="C282" s="27" t="s">
        <v>1</v>
      </c>
      <c r="D282" s="27">
        <v>160</v>
      </c>
      <c r="E282" s="27"/>
      <c r="F282" s="27" t="s">
        <v>147</v>
      </c>
      <c r="G282" s="30">
        <v>1.4830000000000001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75" customFormat="1" ht="19.5" customHeight="1" x14ac:dyDescent="0.3">
      <c r="B283" s="63" t="s">
        <v>9</v>
      </c>
      <c r="C283" s="64" t="s">
        <v>1</v>
      </c>
      <c r="D283" s="64">
        <v>180</v>
      </c>
      <c r="E283" s="64"/>
      <c r="F283" s="64" t="s">
        <v>252</v>
      </c>
      <c r="G283" s="78">
        <v>5.3079999999999998</v>
      </c>
      <c r="H283" s="73" t="s">
        <v>207</v>
      </c>
      <c r="I283" s="67">
        <v>108000</v>
      </c>
      <c r="J283" s="68" t="s">
        <v>56</v>
      </c>
      <c r="K283" s="14"/>
      <c r="L283" s="10"/>
      <c r="M283" s="3"/>
      <c r="N283" s="3"/>
      <c r="O283" s="3"/>
      <c r="P283" s="3"/>
      <c r="Q283" s="3"/>
      <c r="R283" s="3"/>
      <c r="S283" s="3"/>
      <c r="T283" s="3"/>
      <c r="U283" s="3"/>
    </row>
    <row r="284" spans="2:21" s="3" customFormat="1" ht="19.5" customHeight="1" x14ac:dyDescent="0.3">
      <c r="B284" s="26" t="s">
        <v>9</v>
      </c>
      <c r="C284" s="27" t="s">
        <v>1</v>
      </c>
      <c r="D284" s="27">
        <v>190</v>
      </c>
      <c r="E284" s="27"/>
      <c r="F284" s="27"/>
      <c r="G284" s="30">
        <v>1.4530000000000001</v>
      </c>
      <c r="H284" s="28" t="s">
        <v>58</v>
      </c>
      <c r="I284" s="38">
        <v>118000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30</v>
      </c>
      <c r="C285" s="27" t="s">
        <v>65</v>
      </c>
      <c r="D285" s="27">
        <v>200</v>
      </c>
      <c r="E285" s="27"/>
      <c r="F285" s="27"/>
      <c r="G285" s="30">
        <v>5.68</v>
      </c>
      <c r="H285" s="28" t="s">
        <v>207</v>
      </c>
      <c r="I285" s="38">
        <v>150000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210</v>
      </c>
      <c r="E286" s="27"/>
      <c r="F286" s="27"/>
      <c r="G286" s="30">
        <v>2.1680000000000001</v>
      </c>
      <c r="H286" s="28" t="s">
        <v>83</v>
      </c>
      <c r="I286" s="38">
        <v>120000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230</v>
      </c>
      <c r="E287" s="27"/>
      <c r="F287" s="27"/>
      <c r="G287" s="30">
        <v>2.319</v>
      </c>
      <c r="H287" s="28" t="s">
        <v>62</v>
      </c>
      <c r="I287" s="38">
        <v>130000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240</v>
      </c>
      <c r="E288" s="27"/>
      <c r="F288" s="27" t="s">
        <v>161</v>
      </c>
      <c r="G288" s="30">
        <v>10.587999999999999</v>
      </c>
      <c r="H288" s="28" t="s">
        <v>58</v>
      </c>
      <c r="I288" s="38">
        <v>125000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250</v>
      </c>
      <c r="E289" s="27"/>
      <c r="F289" s="27" t="s">
        <v>161</v>
      </c>
      <c r="G289" s="30">
        <v>7.2910000000000004</v>
      </c>
      <c r="H289" s="28" t="s">
        <v>58</v>
      </c>
      <c r="I289" s="38">
        <v>125000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280</v>
      </c>
      <c r="E290" s="27"/>
      <c r="F290" s="27"/>
      <c r="G290" s="30">
        <v>0.59499999999999997</v>
      </c>
      <c r="H290" s="28" t="s">
        <v>62</v>
      </c>
      <c r="I290" s="38">
        <v>170000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290</v>
      </c>
      <c r="E291" s="27"/>
      <c r="F291" s="24" t="s">
        <v>98</v>
      </c>
      <c r="G291" s="30">
        <v>12.848000000000001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4">
        <v>300</v>
      </c>
      <c r="E292" s="24"/>
      <c r="F292" s="24"/>
      <c r="G292" s="30">
        <v>2.0609999999999999</v>
      </c>
      <c r="H292" s="28" t="s">
        <v>62</v>
      </c>
      <c r="I292" s="38">
        <v>220000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30</v>
      </c>
      <c r="C293" s="27" t="s">
        <v>1</v>
      </c>
      <c r="D293" s="24">
        <v>415</v>
      </c>
      <c r="E293" s="24"/>
      <c r="F293" s="24" t="s">
        <v>99</v>
      </c>
      <c r="G293" s="30">
        <v>0.23</v>
      </c>
      <c r="H293" s="28" t="s">
        <v>207</v>
      </c>
      <c r="I293" s="38">
        <v>230000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9</v>
      </c>
      <c r="C294" s="27" t="s">
        <v>12</v>
      </c>
      <c r="D294" s="27">
        <v>80</v>
      </c>
      <c r="E294" s="27"/>
      <c r="F294" s="27"/>
      <c r="G294" s="30">
        <v>0.14000000000000001</v>
      </c>
      <c r="H294" s="32" t="s">
        <v>34</v>
      </c>
      <c r="I294" s="38">
        <v>80000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20</v>
      </c>
      <c r="E295" s="27"/>
      <c r="F295" s="27" t="s">
        <v>123</v>
      </c>
      <c r="G295" s="30">
        <v>1.34</v>
      </c>
      <c r="H295" s="32" t="s">
        <v>60</v>
      </c>
      <c r="I295" s="39">
        <v>240000</v>
      </c>
      <c r="J295" s="29" t="s">
        <v>56</v>
      </c>
      <c r="K295" s="52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22</v>
      </c>
      <c r="E296" s="27"/>
      <c r="F296" s="27" t="s">
        <v>124</v>
      </c>
      <c r="G296" s="30">
        <v>0.51700000000000002</v>
      </c>
      <c r="H296" s="32" t="s">
        <v>60</v>
      </c>
      <c r="I296" s="39">
        <v>240000</v>
      </c>
      <c r="J296" s="29" t="s">
        <v>56</v>
      </c>
      <c r="K296" s="52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25</v>
      </c>
      <c r="E297" s="27"/>
      <c r="F297" s="27" t="s">
        <v>123</v>
      </c>
      <c r="G297" s="30">
        <v>3.7850000000000001</v>
      </c>
      <c r="H297" s="32" t="s">
        <v>60</v>
      </c>
      <c r="I297" s="39">
        <v>230000</v>
      </c>
      <c r="J297" s="29" t="s">
        <v>56</v>
      </c>
      <c r="K297" s="52"/>
      <c r="L297" s="10"/>
    </row>
    <row r="298" spans="2:21" s="3" customFormat="1" ht="19.5" customHeight="1" x14ac:dyDescent="0.3">
      <c r="B298" s="63" t="s">
        <v>9</v>
      </c>
      <c r="C298" s="64" t="s">
        <v>2</v>
      </c>
      <c r="D298" s="64">
        <v>30</v>
      </c>
      <c r="E298" s="64"/>
      <c r="F298" s="64" t="s">
        <v>194</v>
      </c>
      <c r="G298" s="78">
        <v>3</v>
      </c>
      <c r="H298" s="76" t="s">
        <v>58</v>
      </c>
      <c r="I298" s="72">
        <v>220000</v>
      </c>
      <c r="J298" s="68" t="s">
        <v>385</v>
      </c>
      <c r="K298" s="52"/>
      <c r="L298" s="10"/>
    </row>
    <row r="299" spans="2:21" s="3" customFormat="1" ht="19.5" customHeight="1" x14ac:dyDescent="0.3">
      <c r="B299" s="26" t="s">
        <v>9</v>
      </c>
      <c r="C299" s="27" t="s">
        <v>2</v>
      </c>
      <c r="D299" s="27">
        <v>32</v>
      </c>
      <c r="E299" s="27"/>
      <c r="F299" s="27" t="s">
        <v>194</v>
      </c>
      <c r="G299" s="30">
        <v>2.13</v>
      </c>
      <c r="H299" s="33" t="s">
        <v>60</v>
      </c>
      <c r="I299" s="39">
        <v>220000</v>
      </c>
      <c r="J299" s="29" t="s">
        <v>56</v>
      </c>
      <c r="K299" s="52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34</v>
      </c>
      <c r="E300" s="27"/>
      <c r="F300" s="27" t="s">
        <v>194</v>
      </c>
      <c r="G300" s="30">
        <v>3.71</v>
      </c>
      <c r="H300" s="33" t="s">
        <v>60</v>
      </c>
      <c r="I300" s="39">
        <v>220000</v>
      </c>
      <c r="J300" s="29" t="s">
        <v>56</v>
      </c>
      <c r="K300" s="56"/>
      <c r="L300" s="10"/>
    </row>
    <row r="301" spans="2:21" s="3" customFormat="1" ht="19.5" customHeight="1" x14ac:dyDescent="0.3">
      <c r="B301" s="63" t="s">
        <v>9</v>
      </c>
      <c r="C301" s="64" t="s">
        <v>2</v>
      </c>
      <c r="D301" s="64">
        <v>36</v>
      </c>
      <c r="E301" s="64"/>
      <c r="F301" s="64"/>
      <c r="G301" s="78">
        <v>3.6760000000000002</v>
      </c>
      <c r="H301" s="66" t="s">
        <v>60</v>
      </c>
      <c r="I301" s="72">
        <v>220000</v>
      </c>
      <c r="J301" s="68" t="s">
        <v>56</v>
      </c>
      <c r="K301" s="56"/>
      <c r="L301" s="10"/>
    </row>
    <row r="302" spans="2:21" s="3" customFormat="1" ht="19.5" customHeight="1" x14ac:dyDescent="0.3">
      <c r="B302" s="63" t="s">
        <v>9</v>
      </c>
      <c r="C302" s="64" t="s">
        <v>2</v>
      </c>
      <c r="D302" s="64">
        <v>40</v>
      </c>
      <c r="E302" s="64"/>
      <c r="F302" s="64" t="s">
        <v>194</v>
      </c>
      <c r="G302" s="78">
        <v>3</v>
      </c>
      <c r="H302" s="76" t="s">
        <v>58</v>
      </c>
      <c r="I302" s="72">
        <v>220000</v>
      </c>
      <c r="J302" s="68" t="s">
        <v>385</v>
      </c>
      <c r="K302" s="56"/>
      <c r="L302" s="10"/>
    </row>
    <row r="303" spans="2:21" s="75" customFormat="1" ht="19.5" customHeight="1" x14ac:dyDescent="0.3">
      <c r="B303" s="63" t="s">
        <v>9</v>
      </c>
      <c r="C303" s="64" t="s">
        <v>2</v>
      </c>
      <c r="D303" s="64">
        <v>40</v>
      </c>
      <c r="E303" s="64"/>
      <c r="F303" s="64" t="s">
        <v>287</v>
      </c>
      <c r="G303" s="78">
        <v>6.8360000000000003</v>
      </c>
      <c r="H303" s="66" t="s">
        <v>60</v>
      </c>
      <c r="I303" s="72">
        <v>220000</v>
      </c>
      <c r="J303" s="68" t="s">
        <v>56</v>
      </c>
      <c r="K303" s="54"/>
      <c r="L303" s="10"/>
      <c r="M303" s="3"/>
      <c r="N303" s="3"/>
      <c r="O303" s="3"/>
      <c r="P303" s="3"/>
      <c r="Q303" s="3"/>
      <c r="R303" s="3"/>
      <c r="S303" s="3"/>
      <c r="T303" s="3"/>
      <c r="U303" s="3"/>
    </row>
    <row r="304" spans="2:21" s="75" customFormat="1" ht="19.5" customHeight="1" x14ac:dyDescent="0.3">
      <c r="B304" s="63" t="s">
        <v>9</v>
      </c>
      <c r="C304" s="64" t="s">
        <v>2</v>
      </c>
      <c r="D304" s="64">
        <v>45</v>
      </c>
      <c r="E304" s="64"/>
      <c r="F304" s="64" t="s">
        <v>287</v>
      </c>
      <c r="G304" s="78">
        <v>2.258</v>
      </c>
      <c r="H304" s="66" t="s">
        <v>60</v>
      </c>
      <c r="I304" s="72">
        <v>220000</v>
      </c>
      <c r="J304" s="68" t="s">
        <v>56</v>
      </c>
      <c r="K304" s="54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5" customFormat="1" ht="19.5" customHeight="1" x14ac:dyDescent="0.3">
      <c r="B305" s="63" t="s">
        <v>9</v>
      </c>
      <c r="C305" s="64" t="s">
        <v>2</v>
      </c>
      <c r="D305" s="64">
        <v>50</v>
      </c>
      <c r="E305" s="64"/>
      <c r="F305" s="64" t="s">
        <v>386</v>
      </c>
      <c r="G305" s="78">
        <v>2.87</v>
      </c>
      <c r="H305" s="76" t="s">
        <v>58</v>
      </c>
      <c r="I305" s="72">
        <v>220000</v>
      </c>
      <c r="J305" s="68" t="s">
        <v>407</v>
      </c>
      <c r="K305" s="54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5" customFormat="1" ht="19.5" customHeight="1" x14ac:dyDescent="0.3">
      <c r="B306" s="63" t="s">
        <v>9</v>
      </c>
      <c r="C306" s="64" t="s">
        <v>2</v>
      </c>
      <c r="D306" s="64">
        <v>50</v>
      </c>
      <c r="E306" s="64"/>
      <c r="F306" s="64" t="s">
        <v>287</v>
      </c>
      <c r="G306" s="78">
        <v>4.05</v>
      </c>
      <c r="H306" s="66" t="s">
        <v>60</v>
      </c>
      <c r="I306" s="72">
        <v>220000</v>
      </c>
      <c r="J306" s="68" t="s">
        <v>56</v>
      </c>
      <c r="K306" s="54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3" customFormat="1" ht="19.5" customHeight="1" x14ac:dyDescent="0.3">
      <c r="B307" s="26" t="s">
        <v>9</v>
      </c>
      <c r="C307" s="27" t="s">
        <v>2</v>
      </c>
      <c r="D307" s="27">
        <v>56</v>
      </c>
      <c r="E307" s="27"/>
      <c r="F307" s="27" t="s">
        <v>286</v>
      </c>
      <c r="G307" s="30">
        <v>0.55400000000000005</v>
      </c>
      <c r="H307" s="33" t="s">
        <v>285</v>
      </c>
      <c r="I307" s="39">
        <v>215000</v>
      </c>
      <c r="J307" s="29" t="s">
        <v>56</v>
      </c>
      <c r="K307" s="52"/>
      <c r="L307" s="10"/>
      <c r="M307" s="3" t="s">
        <v>6</v>
      </c>
    </row>
    <row r="308" spans="2:21" s="3" customFormat="1" ht="19.5" customHeight="1" x14ac:dyDescent="0.3">
      <c r="B308" s="26" t="s">
        <v>9</v>
      </c>
      <c r="C308" s="27" t="s">
        <v>2</v>
      </c>
      <c r="D308" s="27">
        <v>60</v>
      </c>
      <c r="E308" s="27"/>
      <c r="F308" s="27" t="s">
        <v>329</v>
      </c>
      <c r="G308" s="30">
        <v>4.7E-2</v>
      </c>
      <c r="H308" s="33" t="s">
        <v>195</v>
      </c>
      <c r="I308" s="39">
        <v>250000</v>
      </c>
      <c r="J308" s="29" t="s">
        <v>56</v>
      </c>
      <c r="K308" s="57"/>
      <c r="L308" s="10"/>
    </row>
    <row r="309" spans="2:21" s="3" customFormat="1" ht="19.5" customHeight="1" x14ac:dyDescent="0.3">
      <c r="B309" s="63" t="s">
        <v>9</v>
      </c>
      <c r="C309" s="64" t="s">
        <v>2</v>
      </c>
      <c r="D309" s="64">
        <v>60</v>
      </c>
      <c r="E309" s="64"/>
      <c r="F309" s="64" t="s">
        <v>386</v>
      </c>
      <c r="G309" s="78">
        <v>3</v>
      </c>
      <c r="H309" s="76" t="s">
        <v>58</v>
      </c>
      <c r="I309" s="72">
        <v>250000</v>
      </c>
      <c r="J309" s="68" t="s">
        <v>385</v>
      </c>
      <c r="K309" s="57"/>
      <c r="L309" s="10"/>
    </row>
    <row r="310" spans="2:21" s="3" customFormat="1" ht="19.5" customHeight="1" x14ac:dyDescent="0.3">
      <c r="B310" s="63" t="s">
        <v>9</v>
      </c>
      <c r="C310" s="64" t="s">
        <v>2</v>
      </c>
      <c r="D310" s="64">
        <v>60</v>
      </c>
      <c r="E310" s="64"/>
      <c r="F310" s="64" t="s">
        <v>287</v>
      </c>
      <c r="G310" s="78">
        <v>1.097</v>
      </c>
      <c r="H310" s="66" t="s">
        <v>60</v>
      </c>
      <c r="I310" s="72">
        <v>250000</v>
      </c>
      <c r="J310" s="68" t="s">
        <v>56</v>
      </c>
      <c r="K310" s="57"/>
      <c r="L310" s="10"/>
    </row>
    <row r="311" spans="2:21" s="3" customFormat="1" ht="19.5" customHeight="1" x14ac:dyDescent="0.3">
      <c r="B311" s="63" t="s">
        <v>9</v>
      </c>
      <c r="C311" s="64" t="s">
        <v>2</v>
      </c>
      <c r="D311" s="64">
        <v>70</v>
      </c>
      <c r="E311" s="64"/>
      <c r="F311" s="64" t="s">
        <v>387</v>
      </c>
      <c r="G311" s="78">
        <v>6</v>
      </c>
      <c r="H311" s="66" t="s">
        <v>58</v>
      </c>
      <c r="I311" s="72">
        <v>250000</v>
      </c>
      <c r="J311" s="68" t="s">
        <v>385</v>
      </c>
      <c r="K311" s="57"/>
      <c r="L311" s="10"/>
    </row>
    <row r="312" spans="2:21" s="3" customFormat="1" ht="19.5" customHeight="1" x14ac:dyDescent="0.3">
      <c r="B312" s="63" t="s">
        <v>9</v>
      </c>
      <c r="C312" s="64" t="s">
        <v>2</v>
      </c>
      <c r="D312" s="64">
        <v>75</v>
      </c>
      <c r="E312" s="64"/>
      <c r="F312" s="64" t="s">
        <v>316</v>
      </c>
      <c r="G312" s="78">
        <v>5.3650000000000002</v>
      </c>
      <c r="H312" s="73" t="s">
        <v>62</v>
      </c>
      <c r="I312" s="72">
        <v>250000</v>
      </c>
      <c r="J312" s="68" t="s">
        <v>56</v>
      </c>
      <c r="K312" s="54"/>
      <c r="L312" s="10"/>
    </row>
    <row r="313" spans="2:21" s="3" customFormat="1" ht="19.5" customHeight="1" x14ac:dyDescent="0.3">
      <c r="B313" s="26" t="s">
        <v>9</v>
      </c>
      <c r="C313" s="27" t="s">
        <v>2</v>
      </c>
      <c r="D313" s="27">
        <v>75</v>
      </c>
      <c r="E313" s="27"/>
      <c r="F313" s="27" t="s">
        <v>222</v>
      </c>
      <c r="G313" s="30">
        <v>0.78400000000000003</v>
      </c>
      <c r="H313" s="28" t="s">
        <v>62</v>
      </c>
      <c r="I313" s="39">
        <v>240000</v>
      </c>
      <c r="J313" s="29" t="s">
        <v>56</v>
      </c>
      <c r="K313" s="57"/>
      <c r="L313" s="10"/>
    </row>
    <row r="314" spans="2:21" s="3" customFormat="1" ht="19.5" customHeight="1" x14ac:dyDescent="0.3">
      <c r="B314" s="26" t="s">
        <v>9</v>
      </c>
      <c r="C314" s="27" t="s">
        <v>2</v>
      </c>
      <c r="D314" s="27">
        <v>80</v>
      </c>
      <c r="E314" s="27"/>
      <c r="F314" s="27" t="s">
        <v>222</v>
      </c>
      <c r="G314" s="30">
        <v>5.6000000000000001E-2</v>
      </c>
      <c r="H314" s="28" t="s">
        <v>62</v>
      </c>
      <c r="I314" s="39">
        <v>240000</v>
      </c>
      <c r="J314" s="29" t="s">
        <v>56</v>
      </c>
      <c r="K314" s="57"/>
      <c r="L314" s="10"/>
    </row>
    <row r="315" spans="2:21" s="3" customFormat="1" ht="19.5" customHeight="1" x14ac:dyDescent="0.3">
      <c r="B315" s="63" t="s">
        <v>9</v>
      </c>
      <c r="C315" s="64" t="s">
        <v>2</v>
      </c>
      <c r="D315" s="64">
        <v>80</v>
      </c>
      <c r="E315" s="64"/>
      <c r="F315" s="64" t="s">
        <v>332</v>
      </c>
      <c r="G315" s="78">
        <v>5.1909999999999998</v>
      </c>
      <c r="H315" s="73" t="s">
        <v>62</v>
      </c>
      <c r="I315" s="72">
        <v>250000</v>
      </c>
      <c r="J315" s="68" t="s">
        <v>56</v>
      </c>
      <c r="K315" s="57"/>
      <c r="L315" s="10"/>
    </row>
    <row r="316" spans="2:21" s="3" customFormat="1" ht="19.5" customHeight="1" x14ac:dyDescent="0.3">
      <c r="B316" s="26" t="s">
        <v>9</v>
      </c>
      <c r="C316" s="27" t="s">
        <v>2</v>
      </c>
      <c r="D316" s="27">
        <v>85</v>
      </c>
      <c r="E316" s="27"/>
      <c r="F316" s="27" t="s">
        <v>222</v>
      </c>
      <c r="G316" s="30">
        <v>0.33300000000000002</v>
      </c>
      <c r="H316" s="28" t="s">
        <v>62</v>
      </c>
      <c r="I316" s="39">
        <v>240000</v>
      </c>
      <c r="J316" s="29" t="s">
        <v>56</v>
      </c>
      <c r="K316" s="57"/>
      <c r="L316" s="10"/>
    </row>
    <row r="317" spans="2:21" s="3" customFormat="1" ht="19.5" customHeight="1" x14ac:dyDescent="0.3">
      <c r="B317" s="63" t="s">
        <v>9</v>
      </c>
      <c r="C317" s="64" t="s">
        <v>2</v>
      </c>
      <c r="D317" s="64">
        <v>90</v>
      </c>
      <c r="E317" s="64"/>
      <c r="F317" s="64" t="s">
        <v>287</v>
      </c>
      <c r="G317" s="78">
        <v>5.3680000000000003</v>
      </c>
      <c r="H317" s="73" t="s">
        <v>62</v>
      </c>
      <c r="I317" s="72">
        <v>250000</v>
      </c>
      <c r="J317" s="68" t="s">
        <v>56</v>
      </c>
      <c r="K317" s="114"/>
      <c r="L317" s="10"/>
    </row>
    <row r="318" spans="2:21" s="3" customFormat="1" ht="19.5" customHeight="1" x14ac:dyDescent="0.3">
      <c r="B318" s="63" t="s">
        <v>9</v>
      </c>
      <c r="C318" s="64" t="s">
        <v>2</v>
      </c>
      <c r="D318" s="64">
        <v>100</v>
      </c>
      <c r="E318" s="64"/>
      <c r="F318" s="64" t="s">
        <v>387</v>
      </c>
      <c r="G318" s="78">
        <v>3</v>
      </c>
      <c r="H318" s="66" t="s">
        <v>58</v>
      </c>
      <c r="I318" s="72">
        <v>250000</v>
      </c>
      <c r="J318" s="68" t="s">
        <v>385</v>
      </c>
      <c r="K318" s="114"/>
      <c r="L318" s="10"/>
    </row>
    <row r="319" spans="2:21" s="3" customFormat="1" ht="19.5" customHeight="1" x14ac:dyDescent="0.3">
      <c r="B319" s="26" t="s">
        <v>9</v>
      </c>
      <c r="C319" s="27" t="s">
        <v>2</v>
      </c>
      <c r="D319" s="27">
        <v>100</v>
      </c>
      <c r="E319" s="27"/>
      <c r="F319" s="27" t="s">
        <v>222</v>
      </c>
      <c r="G319" s="30">
        <v>5.8999999999999997E-2</v>
      </c>
      <c r="H319" s="28" t="s">
        <v>62</v>
      </c>
      <c r="I319" s="39">
        <v>240000</v>
      </c>
      <c r="J319" s="29" t="s">
        <v>56</v>
      </c>
      <c r="K319" s="57"/>
      <c r="L319" s="10"/>
    </row>
    <row r="320" spans="2:21" s="3" customFormat="1" ht="19.5" customHeight="1" x14ac:dyDescent="0.3">
      <c r="B320" s="63" t="s">
        <v>9</v>
      </c>
      <c r="C320" s="64" t="s">
        <v>2</v>
      </c>
      <c r="D320" s="64">
        <v>110</v>
      </c>
      <c r="E320" s="64"/>
      <c r="F320" s="64" t="s">
        <v>388</v>
      </c>
      <c r="G320" s="78">
        <v>3</v>
      </c>
      <c r="H320" s="66" t="s">
        <v>58</v>
      </c>
      <c r="I320" s="72">
        <v>250000</v>
      </c>
      <c r="J320" s="68" t="s">
        <v>385</v>
      </c>
      <c r="K320" s="57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110</v>
      </c>
      <c r="E321" s="27"/>
      <c r="F321" s="27" t="s">
        <v>382</v>
      </c>
      <c r="G321" s="30">
        <v>1.5</v>
      </c>
      <c r="H321" s="28" t="s">
        <v>61</v>
      </c>
      <c r="I321" s="39">
        <v>220000</v>
      </c>
      <c r="J321" s="29" t="s">
        <v>56</v>
      </c>
      <c r="K321" s="57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110</v>
      </c>
      <c r="E322" s="27"/>
      <c r="F322" s="27" t="s">
        <v>209</v>
      </c>
      <c r="G322" s="30">
        <v>0.125</v>
      </c>
      <c r="H322" s="28" t="s">
        <v>62</v>
      </c>
      <c r="I322" s="39">
        <v>220000</v>
      </c>
      <c r="J322" s="29" t="s">
        <v>56</v>
      </c>
      <c r="K322" s="14"/>
      <c r="L322" s="10"/>
    </row>
    <row r="323" spans="2:68" s="3" customFormat="1" ht="19.5" customHeight="1" x14ac:dyDescent="0.3">
      <c r="B323" s="63" t="s">
        <v>9</v>
      </c>
      <c r="C323" s="64" t="s">
        <v>2</v>
      </c>
      <c r="D323" s="64">
        <v>120</v>
      </c>
      <c r="E323" s="64"/>
      <c r="F323" s="64" t="s">
        <v>388</v>
      </c>
      <c r="G323" s="78">
        <v>3</v>
      </c>
      <c r="H323" s="66" t="s">
        <v>58</v>
      </c>
      <c r="I323" s="72">
        <v>250000</v>
      </c>
      <c r="J323" s="68" t="s">
        <v>385</v>
      </c>
      <c r="K323" s="14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120</v>
      </c>
      <c r="E324" s="27"/>
      <c r="F324" s="27" t="s">
        <v>101</v>
      </c>
      <c r="G324" s="30">
        <v>4.3680000000000003</v>
      </c>
      <c r="H324" s="28" t="s">
        <v>62</v>
      </c>
      <c r="I324" s="39">
        <v>250000</v>
      </c>
      <c r="J324" s="29" t="s">
        <v>56</v>
      </c>
      <c r="K324" s="14"/>
      <c r="L324" s="1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</row>
    <row r="325" spans="2:68" s="19" customFormat="1" ht="19.5" customHeight="1" x14ac:dyDescent="0.3">
      <c r="B325" s="26" t="s">
        <v>9</v>
      </c>
      <c r="C325" s="27" t="s">
        <v>2</v>
      </c>
      <c r="D325" s="27">
        <v>130</v>
      </c>
      <c r="E325" s="27"/>
      <c r="F325" s="27" t="s">
        <v>173</v>
      </c>
      <c r="G325" s="30">
        <v>0.129</v>
      </c>
      <c r="H325" s="28" t="s">
        <v>58</v>
      </c>
      <c r="I325" s="39">
        <v>250000</v>
      </c>
      <c r="J325" s="29" t="s">
        <v>56</v>
      </c>
      <c r="K325" s="14"/>
      <c r="L325" s="10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</row>
    <row r="326" spans="2:68" s="19" customFormat="1" ht="19.5" customHeight="1" x14ac:dyDescent="0.3">
      <c r="B326" s="63" t="s">
        <v>9</v>
      </c>
      <c r="C326" s="64" t="s">
        <v>2</v>
      </c>
      <c r="D326" s="64">
        <v>130</v>
      </c>
      <c r="E326" s="64"/>
      <c r="F326" s="64" t="s">
        <v>296</v>
      </c>
      <c r="G326" s="78">
        <v>4.3520000000000003</v>
      </c>
      <c r="H326" s="73" t="s">
        <v>62</v>
      </c>
      <c r="I326" s="72">
        <v>250000</v>
      </c>
      <c r="J326" s="63" t="s">
        <v>56</v>
      </c>
      <c r="K326" s="54"/>
      <c r="L326" s="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</row>
    <row r="327" spans="2:68" s="3" customFormat="1" ht="19.5" customHeight="1" x14ac:dyDescent="0.3">
      <c r="B327" s="26" t="s">
        <v>9</v>
      </c>
      <c r="C327" s="27" t="s">
        <v>2</v>
      </c>
      <c r="D327" s="27">
        <v>135</v>
      </c>
      <c r="E327" s="27"/>
      <c r="F327" s="27" t="s">
        <v>114</v>
      </c>
      <c r="G327" s="30">
        <v>0.92200000000000004</v>
      </c>
      <c r="H327" s="28" t="s">
        <v>62</v>
      </c>
      <c r="I327" s="39">
        <v>220000</v>
      </c>
      <c r="J327" s="29" t="s">
        <v>56</v>
      </c>
      <c r="K327" s="14"/>
      <c r="L327" s="10"/>
    </row>
    <row r="328" spans="2:68" s="3" customFormat="1" ht="19.5" customHeight="1" x14ac:dyDescent="0.3">
      <c r="B328" s="26" t="s">
        <v>9</v>
      </c>
      <c r="C328" s="27" t="s">
        <v>2</v>
      </c>
      <c r="D328" s="27">
        <v>140</v>
      </c>
      <c r="E328" s="27"/>
      <c r="F328" s="27" t="s">
        <v>137</v>
      </c>
      <c r="G328" s="30">
        <v>4.8540000000000001</v>
      </c>
      <c r="H328" s="28" t="s">
        <v>62</v>
      </c>
      <c r="I328" s="39">
        <v>220000</v>
      </c>
      <c r="J328" s="29" t="s">
        <v>56</v>
      </c>
      <c r="K328" s="12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150</v>
      </c>
      <c r="E329" s="27"/>
      <c r="F329" s="27" t="s">
        <v>173</v>
      </c>
      <c r="G329" s="30">
        <v>16.184999999999999</v>
      </c>
      <c r="H329" s="28" t="s">
        <v>58</v>
      </c>
      <c r="I329" s="39">
        <v>220000</v>
      </c>
      <c r="J329" s="29" t="s">
        <v>56</v>
      </c>
      <c r="K329" s="12"/>
      <c r="L329" s="10"/>
    </row>
    <row r="330" spans="2:68" s="3" customFormat="1" ht="19.5" customHeight="1" x14ac:dyDescent="0.3">
      <c r="B330" s="63" t="s">
        <v>9</v>
      </c>
      <c r="C330" s="64" t="s">
        <v>2</v>
      </c>
      <c r="D330" s="64">
        <v>160</v>
      </c>
      <c r="E330" s="64"/>
      <c r="F330" s="64" t="s">
        <v>296</v>
      </c>
      <c r="G330" s="78">
        <v>5.71</v>
      </c>
      <c r="H330" s="73" t="s">
        <v>62</v>
      </c>
      <c r="I330" s="72">
        <v>250000</v>
      </c>
      <c r="J330" s="63" t="s">
        <v>56</v>
      </c>
      <c r="K330" s="54"/>
      <c r="L330" s="10"/>
    </row>
    <row r="331" spans="2:68" s="3" customFormat="1" ht="19.5" customHeight="1" x14ac:dyDescent="0.3">
      <c r="B331" s="63" t="s">
        <v>9</v>
      </c>
      <c r="C331" s="64" t="s">
        <v>2</v>
      </c>
      <c r="D331" s="64">
        <v>170</v>
      </c>
      <c r="E331" s="64"/>
      <c r="F331" s="64" t="s">
        <v>316</v>
      </c>
      <c r="G331" s="78">
        <v>5.5670000000000002</v>
      </c>
      <c r="H331" s="73" t="s">
        <v>62</v>
      </c>
      <c r="I331" s="72">
        <v>250000</v>
      </c>
      <c r="J331" s="63" t="s">
        <v>56</v>
      </c>
      <c r="K331" s="54"/>
      <c r="L331" s="10"/>
    </row>
    <row r="332" spans="2:68" s="3" customFormat="1" ht="19.5" customHeight="1" x14ac:dyDescent="0.3">
      <c r="B332" s="63" t="s">
        <v>9</v>
      </c>
      <c r="C332" s="64" t="s">
        <v>2</v>
      </c>
      <c r="D332" s="64">
        <v>180</v>
      </c>
      <c r="E332" s="64"/>
      <c r="F332" s="64" t="s">
        <v>388</v>
      </c>
      <c r="G332" s="78">
        <v>3</v>
      </c>
      <c r="H332" s="66" t="s">
        <v>58</v>
      </c>
      <c r="I332" s="72">
        <v>250000</v>
      </c>
      <c r="J332" s="68" t="s">
        <v>385</v>
      </c>
      <c r="K332" s="54"/>
      <c r="L332" s="10"/>
    </row>
    <row r="333" spans="2:68" s="3" customFormat="1" ht="18.75" customHeight="1" x14ac:dyDescent="0.3">
      <c r="B333" s="63" t="s">
        <v>9</v>
      </c>
      <c r="C333" s="64" t="s">
        <v>2</v>
      </c>
      <c r="D333" s="64">
        <v>180</v>
      </c>
      <c r="E333" s="64"/>
      <c r="F333" s="64" t="s">
        <v>316</v>
      </c>
      <c r="G333" s="78">
        <v>4.0979999999999999</v>
      </c>
      <c r="H333" s="73" t="s">
        <v>62</v>
      </c>
      <c r="I333" s="72">
        <v>250000</v>
      </c>
      <c r="J333" s="63" t="s">
        <v>56</v>
      </c>
      <c r="K333" s="61"/>
      <c r="L333" s="8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2:68" s="3" customFormat="1" ht="18.75" customHeight="1" x14ac:dyDescent="0.3">
      <c r="B334" s="63" t="s">
        <v>9</v>
      </c>
      <c r="C334" s="64" t="s">
        <v>2</v>
      </c>
      <c r="D334" s="64">
        <v>200</v>
      </c>
      <c r="E334" s="64"/>
      <c r="F334" s="64" t="s">
        <v>388</v>
      </c>
      <c r="G334" s="78">
        <v>9.24</v>
      </c>
      <c r="H334" s="66" t="s">
        <v>58</v>
      </c>
      <c r="I334" s="72">
        <v>250000</v>
      </c>
      <c r="J334" s="68" t="s">
        <v>407</v>
      </c>
      <c r="K334" s="61"/>
      <c r="L334" s="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2:68" s="3" customFormat="1" ht="18.75" customHeight="1" x14ac:dyDescent="0.3">
      <c r="B335" s="63" t="s">
        <v>9</v>
      </c>
      <c r="C335" s="64" t="s">
        <v>2</v>
      </c>
      <c r="D335" s="64">
        <v>210</v>
      </c>
      <c r="E335" s="64"/>
      <c r="F335" s="64" t="s">
        <v>388</v>
      </c>
      <c r="G335" s="78">
        <v>3</v>
      </c>
      <c r="H335" s="66" t="s">
        <v>58</v>
      </c>
      <c r="I335" s="72">
        <v>250000</v>
      </c>
      <c r="J335" s="68" t="s">
        <v>385</v>
      </c>
      <c r="K335" s="54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2:68" s="3" customFormat="1" ht="18.75" customHeight="1" x14ac:dyDescent="0.3">
      <c r="B336" s="26" t="s">
        <v>9</v>
      </c>
      <c r="C336" s="27" t="s">
        <v>2</v>
      </c>
      <c r="D336" s="27">
        <v>210</v>
      </c>
      <c r="E336" s="27"/>
      <c r="F336" s="27" t="s">
        <v>331</v>
      </c>
      <c r="G336" s="30">
        <v>0.38400000000000001</v>
      </c>
      <c r="H336" s="28" t="s">
        <v>85</v>
      </c>
      <c r="I336" s="39">
        <v>250000</v>
      </c>
      <c r="J336" s="29" t="s">
        <v>56</v>
      </c>
      <c r="K336" s="5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12" ht="18.75" customHeight="1" x14ac:dyDescent="0.3">
      <c r="B337" s="26" t="s">
        <v>9</v>
      </c>
      <c r="C337" s="27" t="s">
        <v>2</v>
      </c>
      <c r="D337" s="27">
        <v>220</v>
      </c>
      <c r="E337" s="27"/>
      <c r="F337" s="27" t="s">
        <v>222</v>
      </c>
      <c r="G337" s="30">
        <v>0.66300000000000003</v>
      </c>
      <c r="H337" s="28" t="s">
        <v>85</v>
      </c>
      <c r="I337" s="39">
        <v>250000</v>
      </c>
      <c r="J337" s="29" t="s">
        <v>56</v>
      </c>
      <c r="K337" s="13"/>
      <c r="L337" s="11"/>
    </row>
    <row r="338" spans="2:12" ht="18.75" customHeight="1" x14ac:dyDescent="0.3">
      <c r="B338" s="63" t="s">
        <v>9</v>
      </c>
      <c r="C338" s="64" t="s">
        <v>2</v>
      </c>
      <c r="D338" s="64">
        <v>220</v>
      </c>
      <c r="E338" s="64"/>
      <c r="F338" s="64" t="s">
        <v>316</v>
      </c>
      <c r="G338" s="78">
        <v>1.3360000000000001</v>
      </c>
      <c r="H338" s="73" t="s">
        <v>62</v>
      </c>
      <c r="I338" s="72">
        <v>250000</v>
      </c>
      <c r="J338" s="68" t="s">
        <v>56</v>
      </c>
      <c r="K338" s="13"/>
      <c r="L338" s="11"/>
    </row>
    <row r="339" spans="2:12" ht="18.75" customHeight="1" x14ac:dyDescent="0.3">
      <c r="B339" s="70" t="s">
        <v>9</v>
      </c>
      <c r="C339" s="71" t="s">
        <v>2</v>
      </c>
      <c r="D339" s="71">
        <v>230</v>
      </c>
      <c r="E339" s="71"/>
      <c r="F339" s="71" t="s">
        <v>278</v>
      </c>
      <c r="G339" s="78">
        <v>3.5779999999999998</v>
      </c>
      <c r="H339" s="76" t="s">
        <v>85</v>
      </c>
      <c r="I339" s="72">
        <v>250000</v>
      </c>
      <c r="J339" s="68" t="s">
        <v>56</v>
      </c>
      <c r="K339" s="54"/>
      <c r="L339" s="11"/>
    </row>
    <row r="340" spans="2:12" ht="18.75" customHeight="1" x14ac:dyDescent="0.3">
      <c r="B340" s="63" t="s">
        <v>9</v>
      </c>
      <c r="C340" s="64" t="s">
        <v>2</v>
      </c>
      <c r="D340" s="64">
        <v>240</v>
      </c>
      <c r="E340" s="64"/>
      <c r="F340" s="64" t="s">
        <v>297</v>
      </c>
      <c r="G340" s="78">
        <v>8.3339999999999996</v>
      </c>
      <c r="H340" s="73" t="s">
        <v>62</v>
      </c>
      <c r="I340" s="72">
        <v>270000</v>
      </c>
      <c r="J340" s="63" t="s">
        <v>56</v>
      </c>
      <c r="K340" s="54"/>
      <c r="L340" s="11"/>
    </row>
    <row r="341" spans="2:12" ht="18.75" customHeight="1" x14ac:dyDescent="0.3">
      <c r="B341" s="63" t="s">
        <v>9</v>
      </c>
      <c r="C341" s="64" t="s">
        <v>2</v>
      </c>
      <c r="D341" s="64">
        <v>250</v>
      </c>
      <c r="E341" s="64"/>
      <c r="F341" s="64" t="s">
        <v>298</v>
      </c>
      <c r="G341" s="78">
        <v>6.8040000000000003</v>
      </c>
      <c r="H341" s="73" t="s">
        <v>62</v>
      </c>
      <c r="I341" s="72">
        <v>270000</v>
      </c>
      <c r="J341" s="63" t="s">
        <v>56</v>
      </c>
      <c r="K341" s="54"/>
      <c r="L341" s="11"/>
    </row>
    <row r="342" spans="2:12" ht="18.75" customHeight="1" x14ac:dyDescent="0.3">
      <c r="B342" s="63" t="s">
        <v>9</v>
      </c>
      <c r="C342" s="64" t="s">
        <v>2</v>
      </c>
      <c r="D342" s="64">
        <v>260</v>
      </c>
      <c r="E342" s="64"/>
      <c r="F342" s="64" t="s">
        <v>299</v>
      </c>
      <c r="G342" s="78">
        <v>3.714</v>
      </c>
      <c r="H342" s="73" t="s">
        <v>62</v>
      </c>
      <c r="I342" s="72">
        <v>270000</v>
      </c>
      <c r="J342" s="63" t="s">
        <v>56</v>
      </c>
      <c r="K342" s="54"/>
      <c r="L342" s="11"/>
    </row>
    <row r="343" spans="2:12" ht="18.75" customHeight="1" x14ac:dyDescent="0.3">
      <c r="B343" s="63" t="s">
        <v>9</v>
      </c>
      <c r="C343" s="64" t="s">
        <v>2</v>
      </c>
      <c r="D343" s="64">
        <v>280</v>
      </c>
      <c r="E343" s="64"/>
      <c r="F343" s="64" t="s">
        <v>299</v>
      </c>
      <c r="G343" s="78">
        <v>3.4729999999999999</v>
      </c>
      <c r="H343" s="73" t="s">
        <v>62</v>
      </c>
      <c r="I343" s="72">
        <v>270000</v>
      </c>
      <c r="J343" s="63" t="s">
        <v>56</v>
      </c>
      <c r="K343" s="54"/>
      <c r="L343" s="8"/>
    </row>
    <row r="344" spans="2:12" ht="18.75" customHeight="1" x14ac:dyDescent="0.3">
      <c r="B344" s="26" t="s">
        <v>9</v>
      </c>
      <c r="C344" s="27" t="s">
        <v>2</v>
      </c>
      <c r="D344" s="27">
        <v>300</v>
      </c>
      <c r="E344" s="27"/>
      <c r="F344" s="27" t="s">
        <v>165</v>
      </c>
      <c r="G344" s="30">
        <v>0.66100000000000003</v>
      </c>
      <c r="H344" s="28" t="s">
        <v>62</v>
      </c>
      <c r="I344" s="39">
        <v>280000</v>
      </c>
      <c r="J344" s="29" t="s">
        <v>56</v>
      </c>
      <c r="K344" s="12"/>
      <c r="L344" s="10"/>
    </row>
    <row r="345" spans="2:12" ht="18.75" customHeight="1" x14ac:dyDescent="0.3">
      <c r="B345" s="26" t="s">
        <v>9</v>
      </c>
      <c r="C345" s="27" t="s">
        <v>2</v>
      </c>
      <c r="D345" s="27">
        <v>310</v>
      </c>
      <c r="E345" s="27"/>
      <c r="F345" s="27" t="s">
        <v>116</v>
      </c>
      <c r="G345" s="30">
        <v>6.0449999999999999</v>
      </c>
      <c r="H345" s="28" t="s">
        <v>62</v>
      </c>
      <c r="I345" s="39">
        <v>280000</v>
      </c>
      <c r="J345" s="29" t="s">
        <v>56</v>
      </c>
      <c r="K345" s="12"/>
      <c r="L345" s="10"/>
    </row>
    <row r="346" spans="2:12" ht="18.75" customHeight="1" x14ac:dyDescent="0.3">
      <c r="B346" s="26" t="s">
        <v>9</v>
      </c>
      <c r="C346" s="27" t="s">
        <v>2</v>
      </c>
      <c r="D346" s="27">
        <v>310</v>
      </c>
      <c r="E346" s="27"/>
      <c r="F346" s="27" t="s">
        <v>165</v>
      </c>
      <c r="G346" s="30">
        <v>5.548</v>
      </c>
      <c r="H346" s="28" t="s">
        <v>62</v>
      </c>
      <c r="I346" s="39">
        <v>280000</v>
      </c>
      <c r="J346" s="29" t="s">
        <v>56</v>
      </c>
      <c r="K346" s="12"/>
      <c r="L346" s="10"/>
    </row>
    <row r="347" spans="2:12" s="2" customFormat="1" ht="18.75" customHeight="1" x14ac:dyDescent="0.3">
      <c r="B347" s="26" t="s">
        <v>9</v>
      </c>
      <c r="C347" s="27" t="s">
        <v>2</v>
      </c>
      <c r="D347" s="27">
        <v>340</v>
      </c>
      <c r="E347" s="27"/>
      <c r="F347" s="27" t="s">
        <v>166</v>
      </c>
      <c r="G347" s="30">
        <v>7.218</v>
      </c>
      <c r="H347" s="28" t="s">
        <v>62</v>
      </c>
      <c r="I347" s="39">
        <v>280000</v>
      </c>
      <c r="J347" s="29" t="s">
        <v>56</v>
      </c>
      <c r="K347" s="14"/>
      <c r="L347" s="8"/>
    </row>
    <row r="348" spans="2:12" ht="18.75" customHeight="1" x14ac:dyDescent="0.3">
      <c r="B348" s="26" t="s">
        <v>9</v>
      </c>
      <c r="C348" s="27" t="s">
        <v>2</v>
      </c>
      <c r="D348" s="27">
        <v>350</v>
      </c>
      <c r="E348" s="27"/>
      <c r="F348" s="27" t="s">
        <v>166</v>
      </c>
      <c r="G348" s="30">
        <v>4.9720000000000004</v>
      </c>
      <c r="H348" s="28" t="s">
        <v>62</v>
      </c>
      <c r="I348" s="39">
        <v>280000</v>
      </c>
      <c r="J348" s="29" t="s">
        <v>56</v>
      </c>
      <c r="K348" s="12"/>
      <c r="L348" s="10"/>
    </row>
    <row r="349" spans="2:12" ht="18.75" customHeight="1" x14ac:dyDescent="0.3">
      <c r="B349" s="26" t="s">
        <v>9</v>
      </c>
      <c r="C349" s="27" t="s">
        <v>2</v>
      </c>
      <c r="D349" s="27">
        <v>350</v>
      </c>
      <c r="E349" s="27"/>
      <c r="F349" s="27" t="s">
        <v>166</v>
      </c>
      <c r="G349" s="30">
        <v>5.3380000000000001</v>
      </c>
      <c r="H349" s="28" t="s">
        <v>62</v>
      </c>
      <c r="I349" s="39">
        <v>280000</v>
      </c>
      <c r="J349" s="29" t="s">
        <v>56</v>
      </c>
      <c r="K349" s="12"/>
      <c r="L349" s="10"/>
    </row>
    <row r="350" spans="2:12" ht="18.75" customHeight="1" x14ac:dyDescent="0.3">
      <c r="B350" s="26" t="s">
        <v>9</v>
      </c>
      <c r="C350" s="27" t="s">
        <v>383</v>
      </c>
      <c r="D350" s="27">
        <v>38</v>
      </c>
      <c r="E350" s="27"/>
      <c r="F350" s="27"/>
      <c r="G350" s="30">
        <v>6.0999999999999999E-2</v>
      </c>
      <c r="H350" s="28"/>
      <c r="I350" s="39">
        <v>135000</v>
      </c>
      <c r="J350" s="29" t="s">
        <v>56</v>
      </c>
      <c r="K350" s="12"/>
      <c r="L350" s="10"/>
    </row>
    <row r="351" spans="2:12" ht="18.75" customHeight="1" x14ac:dyDescent="0.3">
      <c r="B351" s="26" t="s">
        <v>9</v>
      </c>
      <c r="C351" s="27" t="s">
        <v>383</v>
      </c>
      <c r="D351" s="27">
        <v>65</v>
      </c>
      <c r="E351" s="27"/>
      <c r="F351" s="27"/>
      <c r="G351" s="30">
        <v>9.1999999999999998E-2</v>
      </c>
      <c r="H351" s="28" t="s">
        <v>285</v>
      </c>
      <c r="I351" s="39">
        <v>135000</v>
      </c>
      <c r="J351" s="29" t="s">
        <v>56</v>
      </c>
      <c r="K351" s="12"/>
      <c r="L351" s="10"/>
    </row>
    <row r="352" spans="2:12" ht="18.75" customHeight="1" x14ac:dyDescent="0.3">
      <c r="B352" s="26" t="s">
        <v>9</v>
      </c>
      <c r="C352" s="27" t="s">
        <v>383</v>
      </c>
      <c r="D352" s="27">
        <v>75</v>
      </c>
      <c r="E352" s="27"/>
      <c r="F352" s="27"/>
      <c r="G352" s="30">
        <v>0.83499999999999996</v>
      </c>
      <c r="H352" s="28" t="s">
        <v>58</v>
      </c>
      <c r="I352" s="39">
        <v>120000</v>
      </c>
      <c r="J352" s="29" t="s">
        <v>56</v>
      </c>
      <c r="K352" s="12"/>
      <c r="L352" s="10"/>
    </row>
    <row r="353" spans="2:21" ht="18" customHeight="1" x14ac:dyDescent="0.3">
      <c r="B353" s="26" t="s">
        <v>9</v>
      </c>
      <c r="C353" s="27" t="s">
        <v>292</v>
      </c>
      <c r="D353" s="27">
        <v>90</v>
      </c>
      <c r="E353" s="27"/>
      <c r="F353" s="27"/>
      <c r="G353" s="20">
        <v>0.124</v>
      </c>
      <c r="H353" s="28" t="s">
        <v>195</v>
      </c>
      <c r="I353" s="38">
        <v>140000</v>
      </c>
      <c r="J353" s="29" t="s">
        <v>56</v>
      </c>
      <c r="K353" s="12"/>
      <c r="L353" s="10"/>
    </row>
    <row r="354" spans="2:21" s="3" customFormat="1" ht="19.5" customHeight="1" x14ac:dyDescent="0.3">
      <c r="B354" s="26" t="s">
        <v>11</v>
      </c>
      <c r="C354" s="27" t="s">
        <v>4</v>
      </c>
      <c r="D354" s="27">
        <v>70</v>
      </c>
      <c r="E354" s="27"/>
      <c r="F354" s="27"/>
      <c r="G354" s="30">
        <v>0.28600000000000003</v>
      </c>
      <c r="H354" s="31" t="s">
        <v>34</v>
      </c>
      <c r="I354" s="38">
        <v>250000</v>
      </c>
      <c r="J354" s="29" t="s">
        <v>56</v>
      </c>
      <c r="K354" s="12"/>
      <c r="L354" s="10"/>
    </row>
    <row r="355" spans="2:21" ht="18.75" x14ac:dyDescent="0.3">
      <c r="B355" s="26" t="s">
        <v>9</v>
      </c>
      <c r="C355" s="27" t="s">
        <v>4</v>
      </c>
      <c r="D355" s="27">
        <v>10</v>
      </c>
      <c r="E355" s="27"/>
      <c r="F355" s="27" t="s">
        <v>94</v>
      </c>
      <c r="G355" s="30">
        <v>0.63700000000000001</v>
      </c>
      <c r="H355" s="33" t="s">
        <v>93</v>
      </c>
      <c r="I355" s="38">
        <v>300000</v>
      </c>
      <c r="J355" s="29" t="s">
        <v>56</v>
      </c>
      <c r="K355" s="14"/>
      <c r="L355" s="11"/>
    </row>
    <row r="356" spans="2:21" ht="18.75" x14ac:dyDescent="0.3">
      <c r="B356" s="26" t="s">
        <v>9</v>
      </c>
      <c r="C356" s="27" t="s">
        <v>4</v>
      </c>
      <c r="D356" s="27">
        <v>18</v>
      </c>
      <c r="E356" s="27"/>
      <c r="F356" s="27" t="s">
        <v>94</v>
      </c>
      <c r="G356" s="30">
        <v>0.24099999999999999</v>
      </c>
      <c r="H356" s="33" t="s">
        <v>93</v>
      </c>
      <c r="I356" s="38">
        <v>300000</v>
      </c>
      <c r="J356" s="29" t="s">
        <v>56</v>
      </c>
      <c r="K356" s="12"/>
      <c r="L356" s="11"/>
    </row>
    <row r="357" spans="2:21" ht="18.75" x14ac:dyDescent="0.3">
      <c r="B357" s="26" t="s">
        <v>9</v>
      </c>
      <c r="C357" s="27" t="s">
        <v>4</v>
      </c>
      <c r="D357" s="27">
        <v>30</v>
      </c>
      <c r="E357" s="27"/>
      <c r="F357" s="27" t="s">
        <v>133</v>
      </c>
      <c r="G357" s="30">
        <v>1.321</v>
      </c>
      <c r="H357" s="33" t="s">
        <v>58</v>
      </c>
      <c r="I357" s="38">
        <v>320000</v>
      </c>
      <c r="J357" s="29" t="s">
        <v>56</v>
      </c>
      <c r="K357" s="13"/>
      <c r="L357" s="11"/>
    </row>
    <row r="358" spans="2:21" s="69" customFormat="1" ht="18.75" x14ac:dyDescent="0.3">
      <c r="B358" s="63" t="s">
        <v>9</v>
      </c>
      <c r="C358" s="64" t="s">
        <v>4</v>
      </c>
      <c r="D358" s="64">
        <v>36</v>
      </c>
      <c r="E358" s="64"/>
      <c r="F358" s="64" t="s">
        <v>253</v>
      </c>
      <c r="G358" s="78">
        <v>0.73599999999999999</v>
      </c>
      <c r="H358" s="66" t="s">
        <v>58</v>
      </c>
      <c r="I358" s="67">
        <v>340000</v>
      </c>
      <c r="J358" s="68" t="s">
        <v>56</v>
      </c>
      <c r="K358" s="13"/>
      <c r="L358" s="11"/>
      <c r="M358" s="1"/>
      <c r="N358" s="1"/>
      <c r="O358" s="1"/>
      <c r="P358" s="1"/>
      <c r="Q358" s="1"/>
      <c r="R358" s="1"/>
      <c r="S358" s="1"/>
      <c r="T358" s="1"/>
      <c r="U358" s="1"/>
    </row>
    <row r="359" spans="2:21" s="69" customFormat="1" ht="18.75" x14ac:dyDescent="0.3">
      <c r="B359" s="63" t="s">
        <v>9</v>
      </c>
      <c r="C359" s="64" t="s">
        <v>4</v>
      </c>
      <c r="D359" s="64">
        <v>40</v>
      </c>
      <c r="E359" s="64"/>
      <c r="F359" s="64" t="s">
        <v>253</v>
      </c>
      <c r="G359" s="78">
        <v>8.9999999999999993E-3</v>
      </c>
      <c r="H359" s="66" t="s">
        <v>58</v>
      </c>
      <c r="I359" s="67">
        <v>340000</v>
      </c>
      <c r="J359" s="68" t="s">
        <v>56</v>
      </c>
      <c r="K359" s="13"/>
      <c r="L359" s="11"/>
      <c r="M359" s="1"/>
      <c r="N359" s="1"/>
      <c r="O359" s="1"/>
      <c r="P359" s="1"/>
      <c r="Q359" s="1"/>
      <c r="R359" s="1"/>
      <c r="S359" s="1"/>
      <c r="T359" s="1"/>
      <c r="U359" s="1"/>
    </row>
    <row r="360" spans="2:21" ht="18.75" x14ac:dyDescent="0.3">
      <c r="B360" s="26" t="s">
        <v>9</v>
      </c>
      <c r="C360" s="27" t="s">
        <v>4</v>
      </c>
      <c r="D360" s="27">
        <v>45</v>
      </c>
      <c r="E360" s="27"/>
      <c r="F360" s="27" t="s">
        <v>229</v>
      </c>
      <c r="G360" s="30">
        <v>0.73299999999999998</v>
      </c>
      <c r="H360" s="33" t="s">
        <v>58</v>
      </c>
      <c r="I360" s="38">
        <v>320000</v>
      </c>
      <c r="J360" s="29" t="s">
        <v>56</v>
      </c>
      <c r="K360" s="13"/>
      <c r="L360" s="11"/>
    </row>
    <row r="361" spans="2:21" ht="18.75" x14ac:dyDescent="0.3">
      <c r="B361" s="26" t="s">
        <v>9</v>
      </c>
      <c r="C361" s="27" t="s">
        <v>4</v>
      </c>
      <c r="D361" s="27">
        <v>50</v>
      </c>
      <c r="E361" s="27"/>
      <c r="F361" s="27" t="s">
        <v>229</v>
      </c>
      <c r="G361" s="30">
        <v>0.92600000000000005</v>
      </c>
      <c r="H361" s="33" t="s">
        <v>58</v>
      </c>
      <c r="I361" s="38">
        <v>320000</v>
      </c>
      <c r="J361" s="29" t="s">
        <v>56</v>
      </c>
      <c r="K361" s="13"/>
      <c r="L361" s="11"/>
    </row>
    <row r="362" spans="2:21" ht="18.75" x14ac:dyDescent="0.3">
      <c r="B362" s="63" t="s">
        <v>9</v>
      </c>
      <c r="C362" s="64" t="s">
        <v>4</v>
      </c>
      <c r="D362" s="64">
        <v>60</v>
      </c>
      <c r="E362" s="64"/>
      <c r="F362" s="64" t="s">
        <v>330</v>
      </c>
      <c r="G362" s="78">
        <v>2.8570000000000002</v>
      </c>
      <c r="H362" s="66" t="s">
        <v>58</v>
      </c>
      <c r="I362" s="67">
        <v>350000</v>
      </c>
      <c r="J362" s="68" t="s">
        <v>56</v>
      </c>
      <c r="K362" s="13"/>
      <c r="L362" s="11"/>
    </row>
    <row r="363" spans="2:21" ht="18.75" x14ac:dyDescent="0.3">
      <c r="B363" s="26" t="s">
        <v>9</v>
      </c>
      <c r="C363" s="27" t="s">
        <v>4</v>
      </c>
      <c r="D363" s="27">
        <v>60</v>
      </c>
      <c r="E363" s="27"/>
      <c r="F363" s="27" t="s">
        <v>253</v>
      </c>
      <c r="G363" s="30">
        <v>5.5E-2</v>
      </c>
      <c r="H363" s="33" t="s">
        <v>58</v>
      </c>
      <c r="I363" s="38">
        <v>330000</v>
      </c>
      <c r="J363" s="29" t="s">
        <v>56</v>
      </c>
      <c r="K363" s="13"/>
      <c r="L363" s="11"/>
    </row>
    <row r="364" spans="2:21" ht="18.75" x14ac:dyDescent="0.3">
      <c r="B364" s="26" t="s">
        <v>9</v>
      </c>
      <c r="C364" s="27" t="s">
        <v>4</v>
      </c>
      <c r="D364" s="27">
        <v>70</v>
      </c>
      <c r="E364" s="27"/>
      <c r="F364" s="27"/>
      <c r="G364" s="30">
        <v>6.4980000000000002</v>
      </c>
      <c r="H364" s="33" t="s">
        <v>62</v>
      </c>
      <c r="I364" s="38">
        <v>280000</v>
      </c>
      <c r="J364" s="29" t="s">
        <v>56</v>
      </c>
      <c r="K364" s="13"/>
      <c r="L364" s="11"/>
    </row>
    <row r="365" spans="2:21" ht="18.75" x14ac:dyDescent="0.3">
      <c r="B365" s="26" t="s">
        <v>9</v>
      </c>
      <c r="C365" s="27" t="s">
        <v>4</v>
      </c>
      <c r="D365" s="27">
        <v>75</v>
      </c>
      <c r="E365" s="27"/>
      <c r="F365" s="27" t="s">
        <v>227</v>
      </c>
      <c r="G365" s="30">
        <v>2.0640000000000001</v>
      </c>
      <c r="H365" s="33" t="s">
        <v>62</v>
      </c>
      <c r="I365" s="38">
        <v>320000</v>
      </c>
      <c r="J365" s="29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80</v>
      </c>
      <c r="E366" s="27"/>
      <c r="F366" s="27" t="s">
        <v>133</v>
      </c>
      <c r="G366" s="30">
        <v>0.94799999999999995</v>
      </c>
      <c r="H366" s="33" t="s">
        <v>58</v>
      </c>
      <c r="I366" s="38">
        <v>320000</v>
      </c>
      <c r="J366" s="29" t="s">
        <v>56</v>
      </c>
      <c r="K366" s="14"/>
      <c r="L366" s="11"/>
    </row>
    <row r="367" spans="2:21" ht="18.75" x14ac:dyDescent="0.3">
      <c r="B367" s="26" t="s">
        <v>9</v>
      </c>
      <c r="C367" s="27" t="s">
        <v>4</v>
      </c>
      <c r="D367" s="27">
        <v>80</v>
      </c>
      <c r="E367" s="27"/>
      <c r="F367" s="27" t="s">
        <v>227</v>
      </c>
      <c r="G367" s="30">
        <v>9.1950000000000003</v>
      </c>
      <c r="H367" s="33" t="s">
        <v>62</v>
      </c>
      <c r="I367" s="38">
        <v>320000</v>
      </c>
      <c r="J367" s="29" t="s">
        <v>56</v>
      </c>
      <c r="K367" s="14"/>
      <c r="L367" s="11"/>
      <c r="N367" s="1" t="s">
        <v>6</v>
      </c>
    </row>
    <row r="368" spans="2:21" ht="18.75" x14ac:dyDescent="0.3">
      <c r="B368" s="26" t="s">
        <v>9</v>
      </c>
      <c r="C368" s="27" t="s">
        <v>4</v>
      </c>
      <c r="D368" s="27">
        <v>85</v>
      </c>
      <c r="E368" s="27"/>
      <c r="F368" s="27" t="s">
        <v>150</v>
      </c>
      <c r="G368" s="30">
        <v>0.39400000000000002</v>
      </c>
      <c r="H368" s="33" t="s">
        <v>58</v>
      </c>
      <c r="I368" s="38">
        <v>320000</v>
      </c>
      <c r="J368" s="29" t="s">
        <v>56</v>
      </c>
      <c r="K368" s="14"/>
      <c r="L368" s="11"/>
    </row>
    <row r="369" spans="2:21" ht="18.75" x14ac:dyDescent="0.3">
      <c r="B369" s="26" t="s">
        <v>9</v>
      </c>
      <c r="C369" s="27" t="s">
        <v>4</v>
      </c>
      <c r="D369" s="27">
        <v>85</v>
      </c>
      <c r="E369" s="27"/>
      <c r="F369" s="27" t="s">
        <v>225</v>
      </c>
      <c r="G369" s="30">
        <v>1.488</v>
      </c>
      <c r="H369" s="33" t="s">
        <v>62</v>
      </c>
      <c r="I369" s="38">
        <v>320000</v>
      </c>
      <c r="J369" s="29" t="s">
        <v>56</v>
      </c>
      <c r="K369" s="14"/>
      <c r="L369" s="11"/>
    </row>
    <row r="370" spans="2:21" ht="18.75" x14ac:dyDescent="0.3">
      <c r="B370" s="26" t="s">
        <v>9</v>
      </c>
      <c r="C370" s="27" t="s">
        <v>4</v>
      </c>
      <c r="D370" s="27">
        <v>90</v>
      </c>
      <c r="E370" s="27"/>
      <c r="F370" s="27" t="s">
        <v>224</v>
      </c>
      <c r="G370" s="30">
        <v>2.1819999999999999</v>
      </c>
      <c r="H370" s="33" t="s">
        <v>62</v>
      </c>
      <c r="I370" s="38">
        <v>330000</v>
      </c>
      <c r="J370" s="29" t="s">
        <v>56</v>
      </c>
      <c r="K370" s="15"/>
      <c r="L370" s="11"/>
    </row>
    <row r="371" spans="2:21" ht="18.75" x14ac:dyDescent="0.3">
      <c r="B371" s="26" t="s">
        <v>9</v>
      </c>
      <c r="C371" s="27" t="s">
        <v>4</v>
      </c>
      <c r="D371" s="27">
        <v>95</v>
      </c>
      <c r="E371" s="27"/>
      <c r="F371" s="27" t="s">
        <v>140</v>
      </c>
      <c r="G371" s="30">
        <v>1.0249999999999999</v>
      </c>
      <c r="H371" s="33" t="s">
        <v>62</v>
      </c>
      <c r="I371" s="38">
        <v>330000</v>
      </c>
      <c r="J371" s="29" t="s">
        <v>56</v>
      </c>
      <c r="K371" s="15"/>
      <c r="L371" s="11"/>
    </row>
    <row r="372" spans="2:21" s="74" customFormat="1" ht="18.75" x14ac:dyDescent="0.3">
      <c r="B372" s="63" t="s">
        <v>9</v>
      </c>
      <c r="C372" s="64" t="s">
        <v>4</v>
      </c>
      <c r="D372" s="64">
        <v>100</v>
      </c>
      <c r="E372" s="64"/>
      <c r="F372" s="64"/>
      <c r="G372" s="78">
        <v>0.95699999999999996</v>
      </c>
      <c r="H372" s="77" t="s">
        <v>207</v>
      </c>
      <c r="I372" s="67">
        <v>350000</v>
      </c>
      <c r="J372" s="68" t="s">
        <v>56</v>
      </c>
      <c r="K372" s="15"/>
      <c r="L372" s="8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8.75" x14ac:dyDescent="0.3">
      <c r="B373" s="63" t="s">
        <v>9</v>
      </c>
      <c r="C373" s="64" t="s">
        <v>4</v>
      </c>
      <c r="D373" s="64">
        <v>100</v>
      </c>
      <c r="E373" s="64"/>
      <c r="F373" s="64" t="s">
        <v>225</v>
      </c>
      <c r="G373" s="78">
        <v>0.7</v>
      </c>
      <c r="H373" s="66" t="s">
        <v>58</v>
      </c>
      <c r="I373" s="67">
        <v>350000</v>
      </c>
      <c r="J373" s="68" t="s">
        <v>56</v>
      </c>
      <c r="K373" s="15"/>
      <c r="L373" s="11"/>
    </row>
    <row r="374" spans="2:21" ht="18.75" x14ac:dyDescent="0.3">
      <c r="B374" s="26" t="s">
        <v>9</v>
      </c>
      <c r="C374" s="27" t="s">
        <v>4</v>
      </c>
      <c r="D374" s="27">
        <v>110</v>
      </c>
      <c r="E374" s="27"/>
      <c r="F374" s="27" t="s">
        <v>211</v>
      </c>
      <c r="G374" s="30">
        <v>4.266</v>
      </c>
      <c r="H374" s="33" t="s">
        <v>195</v>
      </c>
      <c r="I374" s="38">
        <v>320000</v>
      </c>
      <c r="J374" s="29" t="s">
        <v>56</v>
      </c>
      <c r="K374" s="14"/>
      <c r="L374" s="11"/>
    </row>
    <row r="375" spans="2:21" ht="18.75" x14ac:dyDescent="0.3">
      <c r="B375" s="26" t="s">
        <v>9</v>
      </c>
      <c r="C375" s="27" t="s">
        <v>4</v>
      </c>
      <c r="D375" s="27">
        <v>110</v>
      </c>
      <c r="E375" s="27"/>
      <c r="F375" s="27" t="s">
        <v>211</v>
      </c>
      <c r="G375" s="30">
        <v>10.769</v>
      </c>
      <c r="H375" s="33" t="s">
        <v>207</v>
      </c>
      <c r="I375" s="38">
        <v>320000</v>
      </c>
      <c r="J375" s="29" t="s">
        <v>56</v>
      </c>
      <c r="K375" s="14"/>
      <c r="L375" s="30"/>
    </row>
    <row r="376" spans="2:21" s="69" customFormat="1" ht="18.75" x14ac:dyDescent="0.3">
      <c r="B376" s="63" t="s">
        <v>9</v>
      </c>
      <c r="C376" s="64" t="s">
        <v>4</v>
      </c>
      <c r="D376" s="64">
        <v>110</v>
      </c>
      <c r="E376" s="64"/>
      <c r="F376" s="64"/>
      <c r="G376" s="78">
        <v>4.6310000000000002</v>
      </c>
      <c r="H376" s="66" t="s">
        <v>258</v>
      </c>
      <c r="I376" s="67">
        <v>340000</v>
      </c>
      <c r="J376" s="68" t="s">
        <v>56</v>
      </c>
      <c r="K376" s="14"/>
      <c r="L376" s="30"/>
      <c r="M376" s="1"/>
      <c r="N376" s="1"/>
      <c r="O376" s="1"/>
      <c r="P376" s="1"/>
      <c r="Q376" s="1"/>
      <c r="R376" s="1"/>
      <c r="S376" s="1"/>
      <c r="T376" s="1"/>
      <c r="U376" s="1"/>
    </row>
    <row r="377" spans="2:21" s="69" customFormat="1" ht="18.75" x14ac:dyDescent="0.3">
      <c r="B377" s="26" t="s">
        <v>9</v>
      </c>
      <c r="C377" s="27" t="s">
        <v>4</v>
      </c>
      <c r="D377" s="27">
        <v>115</v>
      </c>
      <c r="E377" s="27"/>
      <c r="F377" s="27"/>
      <c r="G377" s="30">
        <v>0.57899999999999996</v>
      </c>
      <c r="H377" s="33" t="s">
        <v>62</v>
      </c>
      <c r="I377" s="38">
        <v>270000</v>
      </c>
      <c r="J377" s="29" t="s">
        <v>56</v>
      </c>
      <c r="K377" s="14"/>
      <c r="L377" s="30"/>
      <c r="M377" s="1"/>
      <c r="N377" s="1"/>
      <c r="O377" s="1"/>
      <c r="P377" s="1"/>
      <c r="Q377" s="1"/>
      <c r="R377" s="1"/>
      <c r="S377" s="1"/>
      <c r="T377" s="1"/>
      <c r="U377" s="1"/>
    </row>
    <row r="378" spans="2:21" ht="18.75" x14ac:dyDescent="0.3">
      <c r="B378" s="26" t="s">
        <v>9</v>
      </c>
      <c r="C378" s="27" t="s">
        <v>4</v>
      </c>
      <c r="D378" s="27">
        <v>120</v>
      </c>
      <c r="E378" s="27"/>
      <c r="F378" s="27" t="s">
        <v>202</v>
      </c>
      <c r="G378" s="30">
        <v>0.111</v>
      </c>
      <c r="H378" s="33" t="s">
        <v>62</v>
      </c>
      <c r="I378" s="38">
        <v>320000</v>
      </c>
      <c r="J378" s="29" t="s">
        <v>56</v>
      </c>
      <c r="K378" s="14"/>
      <c r="L378" s="78"/>
    </row>
    <row r="379" spans="2:21" ht="18.75" x14ac:dyDescent="0.3">
      <c r="B379" s="26" t="s">
        <v>9</v>
      </c>
      <c r="C379" s="27" t="s">
        <v>4</v>
      </c>
      <c r="D379" s="27">
        <v>120</v>
      </c>
      <c r="E379" s="27"/>
      <c r="F379" s="27" t="s">
        <v>208</v>
      </c>
      <c r="G379" s="30">
        <v>5.6349999999999998</v>
      </c>
      <c r="H379" s="33" t="s">
        <v>207</v>
      </c>
      <c r="I379" s="38">
        <v>320000</v>
      </c>
      <c r="J379" s="29" t="s">
        <v>56</v>
      </c>
      <c r="K379" s="14"/>
      <c r="L379" s="30"/>
    </row>
    <row r="380" spans="2:21" s="69" customFormat="1" ht="18.75" x14ac:dyDescent="0.3">
      <c r="B380" s="63" t="s">
        <v>9</v>
      </c>
      <c r="C380" s="64" t="s">
        <v>4</v>
      </c>
      <c r="D380" s="64">
        <v>120</v>
      </c>
      <c r="E380" s="64"/>
      <c r="F380" s="64" t="s">
        <v>254</v>
      </c>
      <c r="G380" s="78">
        <v>2.85</v>
      </c>
      <c r="H380" s="66" t="s">
        <v>207</v>
      </c>
      <c r="I380" s="67">
        <v>340000</v>
      </c>
      <c r="J380" s="68" t="s">
        <v>56</v>
      </c>
      <c r="K380" s="14"/>
      <c r="L380" s="120"/>
      <c r="M380" s="1"/>
      <c r="N380" s="1"/>
      <c r="O380" s="1"/>
      <c r="P380" s="1"/>
      <c r="Q380" s="1"/>
      <c r="R380" s="1"/>
      <c r="S380" s="1"/>
      <c r="T380" s="1"/>
      <c r="U380" s="1"/>
    </row>
    <row r="381" spans="2:21" ht="18.75" x14ac:dyDescent="0.3">
      <c r="B381" s="26" t="s">
        <v>9</v>
      </c>
      <c r="C381" s="27" t="s">
        <v>4</v>
      </c>
      <c r="D381" s="27">
        <v>130</v>
      </c>
      <c r="E381" s="27"/>
      <c r="F381" s="27" t="s">
        <v>149</v>
      </c>
      <c r="G381" s="30">
        <v>0.75900000000000001</v>
      </c>
      <c r="H381" s="33" t="s">
        <v>58</v>
      </c>
      <c r="I381" s="38">
        <v>320000</v>
      </c>
      <c r="J381" s="29" t="s">
        <v>56</v>
      </c>
      <c r="K381" s="14"/>
      <c r="L381" s="11"/>
    </row>
    <row r="382" spans="2:21" ht="18.75" x14ac:dyDescent="0.3">
      <c r="B382" s="26" t="s">
        <v>9</v>
      </c>
      <c r="C382" s="27" t="s">
        <v>4</v>
      </c>
      <c r="D382" s="27">
        <v>130</v>
      </c>
      <c r="E382" s="27"/>
      <c r="F382" s="27" t="s">
        <v>216</v>
      </c>
      <c r="G382" s="30">
        <v>4.2069999999999999</v>
      </c>
      <c r="H382" s="33" t="s">
        <v>207</v>
      </c>
      <c r="I382" s="38">
        <v>320000</v>
      </c>
      <c r="J382" s="29" t="s">
        <v>56</v>
      </c>
      <c r="K382" s="14"/>
      <c r="L382" s="11"/>
    </row>
    <row r="383" spans="2:21" s="69" customFormat="1" ht="18.75" x14ac:dyDescent="0.3">
      <c r="B383" s="63" t="s">
        <v>9</v>
      </c>
      <c r="C383" s="64" t="s">
        <v>4</v>
      </c>
      <c r="D383" s="64">
        <v>130</v>
      </c>
      <c r="E383" s="64"/>
      <c r="F383" s="64" t="s">
        <v>216</v>
      </c>
      <c r="G383" s="78">
        <v>7.3789999999999996</v>
      </c>
      <c r="H383" s="66" t="s">
        <v>207</v>
      </c>
      <c r="I383" s="67">
        <v>340000</v>
      </c>
      <c r="J383" s="68" t="s">
        <v>56</v>
      </c>
      <c r="K383" s="14"/>
      <c r="L383" s="11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8.75" x14ac:dyDescent="0.3">
      <c r="B384" s="26" t="s">
        <v>9</v>
      </c>
      <c r="C384" s="27" t="s">
        <v>4</v>
      </c>
      <c r="D384" s="27">
        <v>130</v>
      </c>
      <c r="E384" s="27"/>
      <c r="F384" s="27"/>
      <c r="G384" s="30">
        <v>3.5880000000000001</v>
      </c>
      <c r="H384" s="33" t="s">
        <v>195</v>
      </c>
      <c r="I384" s="38">
        <v>320000</v>
      </c>
      <c r="J384" s="29" t="s">
        <v>56</v>
      </c>
      <c r="K384" s="14"/>
      <c r="L384" s="11"/>
    </row>
    <row r="385" spans="2:21" s="69" customFormat="1" ht="18.75" x14ac:dyDescent="0.3">
      <c r="B385" s="63" t="s">
        <v>9</v>
      </c>
      <c r="C385" s="64" t="s">
        <v>4</v>
      </c>
      <c r="D385" s="64">
        <v>140</v>
      </c>
      <c r="E385" s="64"/>
      <c r="F385" s="64" t="s">
        <v>249</v>
      </c>
      <c r="G385" s="78">
        <v>5.5960000000000001</v>
      </c>
      <c r="H385" s="66" t="s">
        <v>207</v>
      </c>
      <c r="I385" s="67">
        <v>350000</v>
      </c>
      <c r="J385" s="68" t="s">
        <v>56</v>
      </c>
      <c r="K385" s="14"/>
      <c r="L385" s="11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63" t="s">
        <v>9</v>
      </c>
      <c r="C386" s="64" t="s">
        <v>4</v>
      </c>
      <c r="D386" s="64">
        <v>140</v>
      </c>
      <c r="E386" s="64"/>
      <c r="F386" s="64"/>
      <c r="G386" s="78">
        <v>0.752</v>
      </c>
      <c r="H386" s="66" t="s">
        <v>195</v>
      </c>
      <c r="I386" s="67">
        <v>330000</v>
      </c>
      <c r="J386" s="68" t="s">
        <v>56</v>
      </c>
      <c r="K386" s="14"/>
      <c r="L386" s="11"/>
    </row>
    <row r="387" spans="2:21" ht="18.75" x14ac:dyDescent="0.3">
      <c r="B387" s="26" t="s">
        <v>9</v>
      </c>
      <c r="C387" s="27" t="s">
        <v>4</v>
      </c>
      <c r="D387" s="27">
        <v>150</v>
      </c>
      <c r="E387" s="27"/>
      <c r="F387" s="27" t="s">
        <v>151</v>
      </c>
      <c r="G387" s="30">
        <v>0.182</v>
      </c>
      <c r="H387" s="33" t="s">
        <v>58</v>
      </c>
      <c r="I387" s="38">
        <v>330000</v>
      </c>
      <c r="J387" s="29" t="s">
        <v>56</v>
      </c>
      <c r="K387" s="12"/>
      <c r="L387" s="11"/>
    </row>
    <row r="388" spans="2:21" ht="18.75" x14ac:dyDescent="0.3">
      <c r="B388" s="26" t="s">
        <v>9</v>
      </c>
      <c r="C388" s="27" t="s">
        <v>4</v>
      </c>
      <c r="D388" s="27">
        <v>150</v>
      </c>
      <c r="E388" s="27"/>
      <c r="F388" s="27" t="s">
        <v>313</v>
      </c>
      <c r="G388" s="30">
        <v>3.895</v>
      </c>
      <c r="H388" s="33" t="s">
        <v>58</v>
      </c>
      <c r="I388" s="38">
        <v>330000</v>
      </c>
      <c r="J388" s="29" t="s">
        <v>56</v>
      </c>
      <c r="K388" s="14"/>
      <c r="L388" s="11"/>
    </row>
    <row r="389" spans="2:21" ht="18.75" x14ac:dyDescent="0.3">
      <c r="B389" s="26" t="s">
        <v>9</v>
      </c>
      <c r="C389" s="27" t="s">
        <v>4</v>
      </c>
      <c r="D389" s="27">
        <v>155</v>
      </c>
      <c r="E389" s="27"/>
      <c r="F389" s="27" t="s">
        <v>115</v>
      </c>
      <c r="G389" s="30">
        <v>0.32500000000000001</v>
      </c>
      <c r="H389" s="33" t="s">
        <v>62</v>
      </c>
      <c r="I389" s="38">
        <v>330000</v>
      </c>
      <c r="J389" s="29" t="s">
        <v>56</v>
      </c>
      <c r="K389" s="14"/>
      <c r="L389" s="11"/>
    </row>
    <row r="390" spans="2:21" s="69" customFormat="1" ht="18.75" x14ac:dyDescent="0.3">
      <c r="B390" s="63" t="s">
        <v>9</v>
      </c>
      <c r="C390" s="64" t="s">
        <v>4</v>
      </c>
      <c r="D390" s="64">
        <v>160</v>
      </c>
      <c r="E390" s="64"/>
      <c r="F390" s="64" t="s">
        <v>226</v>
      </c>
      <c r="G390" s="65">
        <v>0.13400000000000001</v>
      </c>
      <c r="H390" s="66" t="s">
        <v>62</v>
      </c>
      <c r="I390" s="67">
        <v>350000</v>
      </c>
      <c r="J390" s="68" t="s">
        <v>56</v>
      </c>
      <c r="K390" s="14"/>
      <c r="L390" s="11"/>
      <c r="M390" s="1"/>
      <c r="N390" s="1"/>
      <c r="O390" s="1"/>
      <c r="P390" s="1"/>
      <c r="Q390" s="1"/>
      <c r="R390" s="1"/>
      <c r="S390" s="1"/>
      <c r="T390" s="1"/>
      <c r="U390" s="1"/>
    </row>
    <row r="391" spans="2:21" ht="18.75" x14ac:dyDescent="0.3">
      <c r="B391" s="26" t="s">
        <v>9</v>
      </c>
      <c r="C391" s="27" t="s">
        <v>4</v>
      </c>
      <c r="D391" s="27">
        <v>160</v>
      </c>
      <c r="E391" s="27"/>
      <c r="F391" s="27" t="s">
        <v>379</v>
      </c>
      <c r="G391" s="119">
        <v>0.59199999999999997</v>
      </c>
      <c r="H391" s="33" t="s">
        <v>62</v>
      </c>
      <c r="I391" s="38">
        <v>270000</v>
      </c>
      <c r="J391" s="29" t="s">
        <v>56</v>
      </c>
      <c r="K391" s="14"/>
      <c r="L391" s="11"/>
    </row>
    <row r="392" spans="2:21" ht="18.75" x14ac:dyDescent="0.3">
      <c r="B392" s="26" t="s">
        <v>9</v>
      </c>
      <c r="C392" s="27" t="s">
        <v>4</v>
      </c>
      <c r="D392" s="27">
        <v>170</v>
      </c>
      <c r="E392" s="27"/>
      <c r="F392" s="27"/>
      <c r="G392" s="119">
        <v>0.59299999999999997</v>
      </c>
      <c r="H392" s="33"/>
      <c r="I392" s="38">
        <v>330000</v>
      </c>
      <c r="J392" s="29" t="s">
        <v>56</v>
      </c>
      <c r="K392" s="14"/>
      <c r="L392" s="11"/>
    </row>
    <row r="393" spans="2:21" ht="18.75" x14ac:dyDescent="0.3">
      <c r="B393" s="26" t="s">
        <v>9</v>
      </c>
      <c r="C393" s="27" t="s">
        <v>4</v>
      </c>
      <c r="D393" s="27">
        <v>180</v>
      </c>
      <c r="E393" s="27"/>
      <c r="F393" s="27" t="s">
        <v>129</v>
      </c>
      <c r="G393" s="30">
        <v>1.6890000000000001</v>
      </c>
      <c r="H393" s="33" t="s">
        <v>62</v>
      </c>
      <c r="I393" s="38">
        <v>330000</v>
      </c>
      <c r="J393" s="29" t="s">
        <v>56</v>
      </c>
      <c r="K393" s="14"/>
      <c r="L393" s="11"/>
    </row>
    <row r="394" spans="2:21" s="69" customFormat="1" ht="18.75" x14ac:dyDescent="0.3">
      <c r="B394" s="63" t="s">
        <v>9</v>
      </c>
      <c r="C394" s="64" t="s">
        <v>4</v>
      </c>
      <c r="D394" s="64">
        <v>180</v>
      </c>
      <c r="E394" s="64"/>
      <c r="F394" s="64" t="s">
        <v>247</v>
      </c>
      <c r="G394" s="65">
        <v>0.24099999999999999</v>
      </c>
      <c r="H394" s="66" t="s">
        <v>207</v>
      </c>
      <c r="I394" s="67">
        <v>350000</v>
      </c>
      <c r="J394" s="68" t="s">
        <v>56</v>
      </c>
      <c r="K394" s="14"/>
      <c r="L394" s="11"/>
      <c r="M394" s="1"/>
      <c r="N394" s="1"/>
      <c r="O394" s="1"/>
      <c r="P394" s="1"/>
      <c r="Q394" s="1"/>
      <c r="R394" s="1"/>
      <c r="S394" s="1"/>
      <c r="T394" s="1"/>
      <c r="U394" s="1"/>
    </row>
    <row r="395" spans="2:21" ht="21.75" customHeight="1" x14ac:dyDescent="0.3">
      <c r="B395" s="26" t="s">
        <v>9</v>
      </c>
      <c r="C395" s="27" t="s">
        <v>4</v>
      </c>
      <c r="D395" s="27">
        <v>190</v>
      </c>
      <c r="E395" s="27"/>
      <c r="F395" s="27" t="s">
        <v>211</v>
      </c>
      <c r="G395" s="30">
        <v>2.0099999999999998</v>
      </c>
      <c r="H395" s="33" t="s">
        <v>207</v>
      </c>
      <c r="I395" s="38">
        <v>330000</v>
      </c>
      <c r="J395" s="29" t="s">
        <v>56</v>
      </c>
      <c r="K395" s="14"/>
      <c r="L395" s="11"/>
    </row>
    <row r="396" spans="2:21" s="69" customFormat="1" ht="21.75" customHeight="1" x14ac:dyDescent="0.3">
      <c r="B396" s="63" t="s">
        <v>9</v>
      </c>
      <c r="C396" s="64" t="s">
        <v>4</v>
      </c>
      <c r="D396" s="64">
        <v>190</v>
      </c>
      <c r="E396" s="64"/>
      <c r="F396" s="64" t="s">
        <v>254</v>
      </c>
      <c r="G396" s="65">
        <v>1.4339999999999999</v>
      </c>
      <c r="H396" s="66" t="s">
        <v>207</v>
      </c>
      <c r="I396" s="67">
        <v>350000</v>
      </c>
      <c r="J396" s="68" t="s">
        <v>56</v>
      </c>
      <c r="K396" s="14"/>
      <c r="L396" s="1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ht="18.75" x14ac:dyDescent="0.3">
      <c r="B397" s="26" t="s">
        <v>9</v>
      </c>
      <c r="C397" s="27" t="s">
        <v>4</v>
      </c>
      <c r="D397" s="27">
        <v>210</v>
      </c>
      <c r="E397" s="27"/>
      <c r="F397" s="27" t="s">
        <v>230</v>
      </c>
      <c r="G397" s="30">
        <v>3.1880000000000002</v>
      </c>
      <c r="H397" s="33" t="s">
        <v>62</v>
      </c>
      <c r="I397" s="38">
        <v>330000</v>
      </c>
      <c r="J397" s="29" t="s">
        <v>56</v>
      </c>
      <c r="K397" s="12"/>
      <c r="L397" s="11"/>
    </row>
    <row r="398" spans="2:21" ht="18.75" x14ac:dyDescent="0.3">
      <c r="B398" s="26" t="s">
        <v>9</v>
      </c>
      <c r="C398" s="27" t="s">
        <v>4</v>
      </c>
      <c r="D398" s="27">
        <v>230</v>
      </c>
      <c r="E398" s="27"/>
      <c r="F398" s="27" t="s">
        <v>149</v>
      </c>
      <c r="G398" s="30">
        <v>4.9340000000000002</v>
      </c>
      <c r="H398" s="33" t="s">
        <v>334</v>
      </c>
      <c r="I398" s="38">
        <v>330000</v>
      </c>
      <c r="J398" s="29" t="s">
        <v>56</v>
      </c>
      <c r="K398" s="13"/>
      <c r="L398" s="11"/>
    </row>
    <row r="399" spans="2:21" ht="18.75" x14ac:dyDescent="0.3">
      <c r="B399" s="26" t="s">
        <v>9</v>
      </c>
      <c r="C399" s="27" t="s">
        <v>4</v>
      </c>
      <c r="D399" s="27">
        <v>240</v>
      </c>
      <c r="E399" s="27"/>
      <c r="F399" s="27" t="s">
        <v>183</v>
      </c>
      <c r="G399" s="30">
        <v>0.73599999999999999</v>
      </c>
      <c r="H399" s="33" t="s">
        <v>58</v>
      </c>
      <c r="I399" s="38">
        <v>330000</v>
      </c>
      <c r="J399" s="29" t="s">
        <v>56</v>
      </c>
      <c r="K399" s="13"/>
      <c r="L399" s="11"/>
    </row>
    <row r="400" spans="2:21" ht="18.75" x14ac:dyDescent="0.3">
      <c r="B400" s="26" t="s">
        <v>9</v>
      </c>
      <c r="C400" s="27" t="s">
        <v>4</v>
      </c>
      <c r="D400" s="27">
        <v>240</v>
      </c>
      <c r="E400" s="27"/>
      <c r="F400" s="27" t="s">
        <v>223</v>
      </c>
      <c r="G400" s="30">
        <v>8.4779999999999998</v>
      </c>
      <c r="H400" s="33" t="s">
        <v>62</v>
      </c>
      <c r="I400" s="38">
        <v>330000</v>
      </c>
      <c r="J400" s="29" t="s">
        <v>56</v>
      </c>
      <c r="K400" s="13"/>
      <c r="L400" s="11"/>
      <c r="O400" s="1" t="s">
        <v>6</v>
      </c>
    </row>
    <row r="401" spans="2:12" ht="18.75" x14ac:dyDescent="0.3">
      <c r="B401" s="26" t="s">
        <v>9</v>
      </c>
      <c r="C401" s="27" t="s">
        <v>4</v>
      </c>
      <c r="D401" s="27">
        <v>250</v>
      </c>
      <c r="E401" s="27"/>
      <c r="F401" s="27" t="s">
        <v>233</v>
      </c>
      <c r="G401" s="30">
        <v>7.8449999999999998</v>
      </c>
      <c r="H401" s="33" t="s">
        <v>259</v>
      </c>
      <c r="I401" s="38">
        <v>330000</v>
      </c>
      <c r="J401" s="29" t="s">
        <v>56</v>
      </c>
      <c r="K401" s="13"/>
      <c r="L401" s="11"/>
    </row>
    <row r="402" spans="2:12" ht="18.75" x14ac:dyDescent="0.3">
      <c r="B402" s="26" t="s">
        <v>9</v>
      </c>
      <c r="C402" s="27" t="s">
        <v>4</v>
      </c>
      <c r="D402" s="27">
        <v>260</v>
      </c>
      <c r="E402" s="27"/>
      <c r="F402" s="27" t="s">
        <v>230</v>
      </c>
      <c r="G402" s="30">
        <v>0.13200000000000001</v>
      </c>
      <c r="H402" s="33" t="s">
        <v>62</v>
      </c>
      <c r="I402" s="38">
        <v>340000</v>
      </c>
      <c r="J402" s="29" t="s">
        <v>56</v>
      </c>
      <c r="K402" s="13"/>
      <c r="L402" s="11"/>
    </row>
    <row r="403" spans="2:12" ht="18.75" x14ac:dyDescent="0.3">
      <c r="B403" s="26" t="s">
        <v>9</v>
      </c>
      <c r="C403" s="27" t="s">
        <v>4</v>
      </c>
      <c r="D403" s="27">
        <v>280</v>
      </c>
      <c r="E403" s="27"/>
      <c r="F403" s="27" t="s">
        <v>248</v>
      </c>
      <c r="G403" s="30">
        <v>1.339</v>
      </c>
      <c r="H403" s="33" t="s">
        <v>62</v>
      </c>
      <c r="I403" s="38">
        <v>340000</v>
      </c>
      <c r="J403" s="29" t="s">
        <v>56</v>
      </c>
      <c r="K403" s="12"/>
      <c r="L403" s="11"/>
    </row>
    <row r="404" spans="2:12" ht="18.75" x14ac:dyDescent="0.3">
      <c r="B404" s="26" t="s">
        <v>9</v>
      </c>
      <c r="C404" s="27" t="s">
        <v>4</v>
      </c>
      <c r="D404" s="27">
        <v>290</v>
      </c>
      <c r="E404" s="27"/>
      <c r="F404" s="27" t="s">
        <v>228</v>
      </c>
      <c r="G404" s="30">
        <v>3.7719999999999998</v>
      </c>
      <c r="H404" s="33" t="s">
        <v>62</v>
      </c>
      <c r="I404" s="38">
        <v>340000</v>
      </c>
      <c r="J404" s="29" t="s">
        <v>56</v>
      </c>
      <c r="K404" s="13"/>
      <c r="L404" s="11"/>
    </row>
    <row r="405" spans="2:12" ht="18.75" x14ac:dyDescent="0.3">
      <c r="B405" s="26" t="s">
        <v>9</v>
      </c>
      <c r="C405" s="27" t="s">
        <v>4</v>
      </c>
      <c r="D405" s="27">
        <v>300</v>
      </c>
      <c r="E405" s="27"/>
      <c r="F405" s="27" t="s">
        <v>228</v>
      </c>
      <c r="G405" s="30">
        <v>3.4540000000000002</v>
      </c>
      <c r="H405" s="33" t="s">
        <v>62</v>
      </c>
      <c r="I405" s="38">
        <v>360000</v>
      </c>
      <c r="J405" s="29" t="s">
        <v>56</v>
      </c>
      <c r="K405" s="13"/>
      <c r="L405" s="11"/>
    </row>
    <row r="406" spans="2:12" ht="18.75" x14ac:dyDescent="0.3">
      <c r="B406" s="26" t="s">
        <v>30</v>
      </c>
      <c r="C406" s="27" t="s">
        <v>4</v>
      </c>
      <c r="D406" s="27">
        <v>300</v>
      </c>
      <c r="E406" s="26">
        <v>0.48</v>
      </c>
      <c r="F406" s="27"/>
      <c r="G406" s="30">
        <v>0.26200000000000001</v>
      </c>
      <c r="H406" s="33" t="s">
        <v>212</v>
      </c>
      <c r="I406" s="38">
        <v>360000</v>
      </c>
      <c r="J406" s="29" t="s">
        <v>56</v>
      </c>
      <c r="K406" s="13"/>
      <c r="L406" s="11"/>
    </row>
    <row r="407" spans="2:12" ht="18.75" x14ac:dyDescent="0.3">
      <c r="B407" s="26" t="s">
        <v>9</v>
      </c>
      <c r="C407" s="27" t="s">
        <v>4</v>
      </c>
      <c r="D407" s="27">
        <v>320</v>
      </c>
      <c r="E407" s="26">
        <v>0.73</v>
      </c>
      <c r="F407" s="27" t="s">
        <v>213</v>
      </c>
      <c r="G407" s="30">
        <v>0.46500000000000002</v>
      </c>
      <c r="H407" s="33" t="s">
        <v>62</v>
      </c>
      <c r="I407" s="38">
        <v>380000</v>
      </c>
      <c r="J407" s="29" t="s">
        <v>56</v>
      </c>
      <c r="K407" s="13"/>
      <c r="L407" s="11"/>
    </row>
    <row r="408" spans="2:12" ht="18.75" x14ac:dyDescent="0.3">
      <c r="B408" s="26" t="s">
        <v>9</v>
      </c>
      <c r="C408" s="27" t="s">
        <v>4</v>
      </c>
      <c r="D408" s="27">
        <v>320</v>
      </c>
      <c r="E408" s="27"/>
      <c r="F408" s="27" t="s">
        <v>231</v>
      </c>
      <c r="G408" s="30">
        <v>8.641</v>
      </c>
      <c r="H408" s="33" t="s">
        <v>62</v>
      </c>
      <c r="I408" s="38">
        <v>380000</v>
      </c>
      <c r="J408" s="29" t="s">
        <v>56</v>
      </c>
      <c r="K408" s="13"/>
      <c r="L408" s="11"/>
    </row>
    <row r="409" spans="2:12" ht="18.75" x14ac:dyDescent="0.3">
      <c r="B409" s="26" t="s">
        <v>30</v>
      </c>
      <c r="C409" s="27" t="s">
        <v>4</v>
      </c>
      <c r="D409" s="27">
        <v>340</v>
      </c>
      <c r="E409" s="26" t="s">
        <v>366</v>
      </c>
      <c r="F409" s="27" t="s">
        <v>245</v>
      </c>
      <c r="G409" s="30">
        <v>1.8</v>
      </c>
      <c r="H409" s="33" t="s">
        <v>244</v>
      </c>
      <c r="I409" s="39">
        <v>530000</v>
      </c>
      <c r="J409" s="29" t="s">
        <v>56</v>
      </c>
      <c r="K409" s="13"/>
      <c r="L409" s="11"/>
    </row>
    <row r="410" spans="2:12" ht="18.75" x14ac:dyDescent="0.3">
      <c r="B410" s="26" t="s">
        <v>30</v>
      </c>
      <c r="C410" s="27" t="s">
        <v>4</v>
      </c>
      <c r="D410" s="27">
        <v>360</v>
      </c>
      <c r="E410" s="26" t="s">
        <v>367</v>
      </c>
      <c r="F410" s="27" t="s">
        <v>245</v>
      </c>
      <c r="G410" s="30">
        <v>5.0730000000000004</v>
      </c>
      <c r="H410" s="33" t="s">
        <v>244</v>
      </c>
      <c r="I410" s="39">
        <v>530000</v>
      </c>
      <c r="J410" s="29" t="s">
        <v>56</v>
      </c>
      <c r="K410" s="13"/>
      <c r="L410" s="11"/>
    </row>
    <row r="411" spans="2:12" ht="18.75" x14ac:dyDescent="0.3">
      <c r="B411" s="26" t="s">
        <v>30</v>
      </c>
      <c r="C411" s="17" t="s">
        <v>4</v>
      </c>
      <c r="D411" s="17">
        <v>420</v>
      </c>
      <c r="E411" s="1" t="s">
        <v>368</v>
      </c>
      <c r="F411" s="27" t="s">
        <v>128</v>
      </c>
      <c r="G411" s="20">
        <v>3.5529999999999999</v>
      </c>
      <c r="H411" s="33" t="s">
        <v>63</v>
      </c>
      <c r="I411" s="39">
        <v>500000</v>
      </c>
      <c r="J411" s="29" t="s">
        <v>56</v>
      </c>
      <c r="K411" s="47"/>
      <c r="L411" s="11"/>
    </row>
    <row r="412" spans="2:12" ht="18.75" x14ac:dyDescent="0.3">
      <c r="B412" s="26" t="s">
        <v>10</v>
      </c>
      <c r="C412" s="17" t="s">
        <v>4</v>
      </c>
      <c r="D412" s="27" t="s">
        <v>397</v>
      </c>
      <c r="E412" s="27">
        <v>6.76</v>
      </c>
      <c r="F412" s="27" t="s">
        <v>271</v>
      </c>
      <c r="G412" s="30">
        <v>1.421</v>
      </c>
      <c r="H412" s="33"/>
      <c r="I412" s="38">
        <v>350000</v>
      </c>
      <c r="J412" s="49" t="s">
        <v>56</v>
      </c>
      <c r="K412" s="13"/>
      <c r="L412" s="11"/>
    </row>
    <row r="413" spans="2:12" ht="18.75" x14ac:dyDescent="0.3">
      <c r="B413" s="26" t="s">
        <v>10</v>
      </c>
      <c r="C413" s="17" t="s">
        <v>4</v>
      </c>
      <c r="D413" s="27" t="s">
        <v>22</v>
      </c>
      <c r="E413" s="27" t="s">
        <v>396</v>
      </c>
      <c r="F413" s="27" t="s">
        <v>271</v>
      </c>
      <c r="G413" s="30">
        <v>2.3769999999999998</v>
      </c>
      <c r="H413" s="33"/>
      <c r="I413" s="38">
        <v>350000</v>
      </c>
      <c r="J413" s="49" t="s">
        <v>56</v>
      </c>
      <c r="K413" s="13"/>
      <c r="L413" s="11"/>
    </row>
    <row r="414" spans="2:12" ht="18.75" x14ac:dyDescent="0.3">
      <c r="B414" s="26" t="s">
        <v>10</v>
      </c>
      <c r="C414" s="17" t="s">
        <v>4</v>
      </c>
      <c r="D414" s="17" t="s">
        <v>132</v>
      </c>
      <c r="E414" s="17"/>
      <c r="F414" s="27"/>
      <c r="G414" s="20">
        <v>2.2549999999999999</v>
      </c>
      <c r="H414" s="33"/>
      <c r="I414" s="39">
        <v>250000</v>
      </c>
      <c r="J414" s="29" t="s">
        <v>56</v>
      </c>
      <c r="K414" s="13"/>
      <c r="L414" s="11"/>
    </row>
    <row r="415" spans="2:12" ht="18.75" x14ac:dyDescent="0.3">
      <c r="B415" s="26" t="s">
        <v>9</v>
      </c>
      <c r="C415" s="27" t="s">
        <v>16</v>
      </c>
      <c r="D415" s="27">
        <v>34</v>
      </c>
      <c r="E415" s="27"/>
      <c r="F415" s="27" t="s">
        <v>146</v>
      </c>
      <c r="G415" s="30">
        <v>0.64200000000000002</v>
      </c>
      <c r="H415" s="33" t="s">
        <v>60</v>
      </c>
      <c r="I415" s="38">
        <v>280000</v>
      </c>
      <c r="J415" s="29" t="s">
        <v>56</v>
      </c>
      <c r="K415" s="54"/>
      <c r="L415" s="11"/>
    </row>
    <row r="416" spans="2:12" ht="18.75" x14ac:dyDescent="0.3">
      <c r="B416" s="26" t="s">
        <v>9</v>
      </c>
      <c r="C416" s="27" t="s">
        <v>16</v>
      </c>
      <c r="D416" s="27">
        <v>45</v>
      </c>
      <c r="E416" s="27"/>
      <c r="F416" s="27" t="s">
        <v>146</v>
      </c>
      <c r="G416" s="30">
        <v>0.27300000000000002</v>
      </c>
      <c r="H416" s="33" t="s">
        <v>60</v>
      </c>
      <c r="I416" s="38">
        <v>280000</v>
      </c>
      <c r="J416" s="29" t="s">
        <v>56</v>
      </c>
      <c r="K416" s="54"/>
      <c r="L416" s="11"/>
    </row>
    <row r="417" spans="2:21" s="69" customFormat="1" ht="18.75" x14ac:dyDescent="0.3">
      <c r="B417" s="63" t="s">
        <v>9</v>
      </c>
      <c r="C417" s="64" t="s">
        <v>16</v>
      </c>
      <c r="D417" s="64">
        <v>60</v>
      </c>
      <c r="E417" s="64"/>
      <c r="F417" s="64" t="s">
        <v>199</v>
      </c>
      <c r="G417" s="78">
        <v>34.868000000000002</v>
      </c>
      <c r="H417" s="66" t="s">
        <v>62</v>
      </c>
      <c r="I417" s="67">
        <v>250000</v>
      </c>
      <c r="J417" s="68" t="s">
        <v>56</v>
      </c>
      <c r="K417" s="54"/>
      <c r="L417" s="11"/>
      <c r="M417" s="1"/>
      <c r="N417" s="1"/>
      <c r="O417" s="1"/>
      <c r="P417" s="1"/>
      <c r="Q417" s="1"/>
      <c r="R417" s="1"/>
      <c r="S417" s="1"/>
      <c r="T417" s="1"/>
      <c r="U417" s="1"/>
    </row>
    <row r="418" spans="2:21" s="69" customFormat="1" ht="18.75" x14ac:dyDescent="0.3">
      <c r="B418" s="63" t="s">
        <v>9</v>
      </c>
      <c r="C418" s="64" t="s">
        <v>16</v>
      </c>
      <c r="D418" s="64">
        <v>70</v>
      </c>
      <c r="E418" s="64"/>
      <c r="F418" s="64" t="s">
        <v>237</v>
      </c>
      <c r="G418" s="78">
        <v>5.5289999999999999</v>
      </c>
      <c r="H418" s="66" t="s">
        <v>62</v>
      </c>
      <c r="I418" s="67">
        <v>270000</v>
      </c>
      <c r="J418" s="68" t="s">
        <v>56</v>
      </c>
      <c r="K418" s="54"/>
      <c r="L418" s="11"/>
      <c r="M418" s="1"/>
      <c r="N418" s="1"/>
      <c r="O418" s="1"/>
      <c r="P418" s="1"/>
      <c r="Q418" s="1"/>
      <c r="R418" s="1"/>
      <c r="S418" s="1"/>
      <c r="T418" s="1"/>
      <c r="U418" s="1"/>
    </row>
    <row r="419" spans="2:21" s="69" customFormat="1" ht="18.75" x14ac:dyDescent="0.3">
      <c r="B419" s="63" t="s">
        <v>9</v>
      </c>
      <c r="C419" s="64" t="s">
        <v>16</v>
      </c>
      <c r="D419" s="64">
        <v>80</v>
      </c>
      <c r="E419" s="64"/>
      <c r="F419" s="64" t="s">
        <v>237</v>
      </c>
      <c r="G419" s="78">
        <v>19.651</v>
      </c>
      <c r="H419" s="66" t="s">
        <v>62</v>
      </c>
      <c r="I419" s="67">
        <v>250000</v>
      </c>
      <c r="J419" s="68" t="s">
        <v>56</v>
      </c>
      <c r="K419" s="54"/>
      <c r="L419" s="1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s="69" customFormat="1" ht="18.75" x14ac:dyDescent="0.3">
      <c r="B420" s="63" t="s">
        <v>9</v>
      </c>
      <c r="C420" s="64" t="s">
        <v>16</v>
      </c>
      <c r="D420" s="64">
        <v>90</v>
      </c>
      <c r="E420" s="64"/>
      <c r="F420" s="64" t="s">
        <v>237</v>
      </c>
      <c r="G420" s="78">
        <v>11.055999999999999</v>
      </c>
      <c r="H420" s="66" t="s">
        <v>62</v>
      </c>
      <c r="I420" s="67">
        <v>270000</v>
      </c>
      <c r="J420" s="68" t="s">
        <v>56</v>
      </c>
      <c r="K420" s="54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69" customFormat="1" ht="18.75" x14ac:dyDescent="0.3">
      <c r="B421" s="63" t="s">
        <v>9</v>
      </c>
      <c r="C421" s="64" t="s">
        <v>16</v>
      </c>
      <c r="D421" s="64">
        <v>100</v>
      </c>
      <c r="E421" s="64"/>
      <c r="F421" s="64" t="s">
        <v>237</v>
      </c>
      <c r="G421" s="78">
        <v>4.5739999999999998</v>
      </c>
      <c r="H421" s="66" t="s">
        <v>62</v>
      </c>
      <c r="I421" s="67">
        <v>270000</v>
      </c>
      <c r="J421" s="68" t="s">
        <v>56</v>
      </c>
      <c r="K421" s="54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ht="18.75" x14ac:dyDescent="0.3">
      <c r="B422" s="63" t="s">
        <v>9</v>
      </c>
      <c r="C422" s="64" t="s">
        <v>16</v>
      </c>
      <c r="D422" s="64">
        <v>100</v>
      </c>
      <c r="E422" s="64"/>
      <c r="F422" s="64" t="s">
        <v>139</v>
      </c>
      <c r="G422" s="78">
        <v>0.26200000000000001</v>
      </c>
      <c r="H422" s="66" t="s">
        <v>62</v>
      </c>
      <c r="I422" s="67">
        <v>270000</v>
      </c>
      <c r="J422" s="68" t="s">
        <v>56</v>
      </c>
      <c r="K422" s="54"/>
      <c r="L422" s="11"/>
    </row>
    <row r="423" spans="2:21" s="69" customFormat="1" ht="18.75" x14ac:dyDescent="0.3">
      <c r="B423" s="26" t="s">
        <v>9</v>
      </c>
      <c r="C423" s="27" t="s">
        <v>16</v>
      </c>
      <c r="D423" s="27">
        <v>110</v>
      </c>
      <c r="E423" s="27"/>
      <c r="F423" s="27" t="s">
        <v>198</v>
      </c>
      <c r="G423" s="30">
        <v>0.21099999999999999</v>
      </c>
      <c r="H423" s="33" t="s">
        <v>62</v>
      </c>
      <c r="I423" s="38">
        <v>270000</v>
      </c>
      <c r="J423" s="29" t="s">
        <v>56</v>
      </c>
      <c r="K423" s="54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ht="18.75" x14ac:dyDescent="0.3">
      <c r="B424" s="26" t="s">
        <v>9</v>
      </c>
      <c r="C424" s="27" t="s">
        <v>16</v>
      </c>
      <c r="D424" s="27">
        <v>120</v>
      </c>
      <c r="E424" s="27"/>
      <c r="F424" s="27" t="s">
        <v>139</v>
      </c>
      <c r="G424" s="30">
        <v>0.44</v>
      </c>
      <c r="H424" s="33" t="s">
        <v>62</v>
      </c>
      <c r="I424" s="38">
        <v>250000</v>
      </c>
      <c r="J424" s="29" t="s">
        <v>56</v>
      </c>
      <c r="K424" s="54"/>
      <c r="L424" s="11"/>
    </row>
    <row r="425" spans="2:21" s="69" customFormat="1" ht="18.75" x14ac:dyDescent="0.3">
      <c r="B425" s="63" t="s">
        <v>9</v>
      </c>
      <c r="C425" s="64" t="s">
        <v>16</v>
      </c>
      <c r="D425" s="64">
        <v>120</v>
      </c>
      <c r="E425" s="64"/>
      <c r="F425" s="64" t="s">
        <v>198</v>
      </c>
      <c r="G425" s="78">
        <v>4.2670000000000003</v>
      </c>
      <c r="H425" s="66" t="s">
        <v>62</v>
      </c>
      <c r="I425" s="67">
        <v>270000</v>
      </c>
      <c r="J425" s="68" t="s">
        <v>56</v>
      </c>
      <c r="K425" s="54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69" customFormat="1" ht="18.75" x14ac:dyDescent="0.3">
      <c r="B426" s="63" t="s">
        <v>9</v>
      </c>
      <c r="C426" s="64" t="s">
        <v>16</v>
      </c>
      <c r="D426" s="64">
        <v>130</v>
      </c>
      <c r="E426" s="64"/>
      <c r="F426" s="64" t="s">
        <v>198</v>
      </c>
      <c r="G426" s="78">
        <v>1.2370000000000001</v>
      </c>
      <c r="H426" s="66" t="s">
        <v>62</v>
      </c>
      <c r="I426" s="67">
        <v>270000</v>
      </c>
      <c r="J426" s="68" t="s">
        <v>56</v>
      </c>
      <c r="K426" s="54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69" customFormat="1" ht="18.75" x14ac:dyDescent="0.3">
      <c r="B427" s="63" t="s">
        <v>9</v>
      </c>
      <c r="C427" s="64" t="s">
        <v>16</v>
      </c>
      <c r="D427" s="64">
        <v>150</v>
      </c>
      <c r="E427" s="64"/>
      <c r="F427" s="64" t="s">
        <v>324</v>
      </c>
      <c r="G427" s="78">
        <v>3.4119999999999999</v>
      </c>
      <c r="H427" s="66" t="s">
        <v>62</v>
      </c>
      <c r="I427" s="67">
        <v>270000</v>
      </c>
      <c r="J427" s="68" t="s">
        <v>56</v>
      </c>
      <c r="K427" s="54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69" customFormat="1" ht="18.75" x14ac:dyDescent="0.3">
      <c r="B428" s="63" t="s">
        <v>9</v>
      </c>
      <c r="C428" s="64" t="s">
        <v>16</v>
      </c>
      <c r="D428" s="64">
        <v>160</v>
      </c>
      <c r="E428" s="64"/>
      <c r="F428" s="64" t="s">
        <v>198</v>
      </c>
      <c r="G428" s="78">
        <v>4.28</v>
      </c>
      <c r="H428" s="66" t="s">
        <v>60</v>
      </c>
      <c r="I428" s="67">
        <v>270000</v>
      </c>
      <c r="J428" s="68" t="s">
        <v>56</v>
      </c>
      <c r="K428" s="54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69" customFormat="1" ht="18.75" x14ac:dyDescent="0.3">
      <c r="B429" s="63" t="s">
        <v>9</v>
      </c>
      <c r="C429" s="64" t="s">
        <v>16</v>
      </c>
      <c r="D429" s="64">
        <v>170</v>
      </c>
      <c r="E429" s="64"/>
      <c r="F429" s="64" t="s">
        <v>198</v>
      </c>
      <c r="G429" s="78">
        <v>3.355</v>
      </c>
      <c r="H429" s="66" t="s">
        <v>62</v>
      </c>
      <c r="I429" s="67">
        <v>270000</v>
      </c>
      <c r="J429" s="68" t="s">
        <v>56</v>
      </c>
      <c r="K429" s="54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69" customFormat="1" ht="18.75" x14ac:dyDescent="0.3">
      <c r="B430" s="63" t="s">
        <v>9</v>
      </c>
      <c r="C430" s="64" t="s">
        <v>16</v>
      </c>
      <c r="D430" s="64">
        <v>180</v>
      </c>
      <c r="E430" s="64"/>
      <c r="F430" s="64" t="s">
        <v>238</v>
      </c>
      <c r="G430" s="78">
        <v>2.7410000000000001</v>
      </c>
      <c r="H430" s="66" t="s">
        <v>62</v>
      </c>
      <c r="I430" s="67">
        <v>270000</v>
      </c>
      <c r="J430" s="68" t="s">
        <v>56</v>
      </c>
      <c r="K430" s="54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69" customFormat="1" ht="18.75" x14ac:dyDescent="0.3">
      <c r="B431" s="63" t="s">
        <v>9</v>
      </c>
      <c r="C431" s="64" t="s">
        <v>16</v>
      </c>
      <c r="D431" s="64">
        <v>210</v>
      </c>
      <c r="E431" s="64"/>
      <c r="F431" s="64" t="s">
        <v>238</v>
      </c>
      <c r="G431" s="78">
        <v>0.23</v>
      </c>
      <c r="H431" s="66" t="s">
        <v>62</v>
      </c>
      <c r="I431" s="67">
        <v>270000</v>
      </c>
      <c r="J431" s="68" t="s">
        <v>56</v>
      </c>
      <c r="K431" s="54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69" customFormat="1" ht="18.75" x14ac:dyDescent="0.3">
      <c r="B432" s="63" t="s">
        <v>9</v>
      </c>
      <c r="C432" s="64" t="s">
        <v>16</v>
      </c>
      <c r="D432" s="64">
        <v>210</v>
      </c>
      <c r="E432" s="64"/>
      <c r="F432" s="64"/>
      <c r="G432" s="78">
        <v>10.747</v>
      </c>
      <c r="H432" s="66" t="s">
        <v>60</v>
      </c>
      <c r="I432" s="67">
        <v>270000</v>
      </c>
      <c r="J432" s="68" t="s">
        <v>56</v>
      </c>
      <c r="K432" s="54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69" customFormat="1" ht="18.75" x14ac:dyDescent="0.3">
      <c r="B433" s="63" t="s">
        <v>9</v>
      </c>
      <c r="C433" s="64" t="s">
        <v>16</v>
      </c>
      <c r="D433" s="64">
        <v>230</v>
      </c>
      <c r="E433" s="64"/>
      <c r="F433" s="64"/>
      <c r="G433" s="78">
        <v>1.5569999999999999</v>
      </c>
      <c r="H433" s="66" t="s">
        <v>60</v>
      </c>
      <c r="I433" s="67">
        <v>270000</v>
      </c>
      <c r="J433" s="68" t="s">
        <v>56</v>
      </c>
      <c r="K433" s="54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3" customFormat="1" ht="18.75" x14ac:dyDescent="0.3">
      <c r="B434" s="25" t="s">
        <v>200</v>
      </c>
      <c r="C434" s="24" t="s">
        <v>16</v>
      </c>
      <c r="D434" s="24">
        <v>260</v>
      </c>
      <c r="E434" s="24"/>
      <c r="F434" s="24"/>
      <c r="G434" s="30">
        <v>1.2969999999999999</v>
      </c>
      <c r="H434" s="33" t="s">
        <v>206</v>
      </c>
      <c r="I434" s="38">
        <v>245000</v>
      </c>
      <c r="J434" s="29" t="s">
        <v>56</v>
      </c>
      <c r="K434" s="54"/>
      <c r="L434" s="10"/>
    </row>
    <row r="435" spans="2:21" s="3" customFormat="1" ht="18.75" x14ac:dyDescent="0.3">
      <c r="B435" s="25" t="s">
        <v>200</v>
      </c>
      <c r="C435" s="24" t="s">
        <v>16</v>
      </c>
      <c r="D435" s="24">
        <v>260</v>
      </c>
      <c r="E435" s="24"/>
      <c r="F435" s="24"/>
      <c r="G435" s="30">
        <v>1.34</v>
      </c>
      <c r="H435" s="33" t="s">
        <v>206</v>
      </c>
      <c r="I435" s="38">
        <v>245000</v>
      </c>
      <c r="J435" s="29" t="s">
        <v>56</v>
      </c>
      <c r="K435" s="54"/>
      <c r="L435" s="10"/>
    </row>
    <row r="436" spans="2:21" s="69" customFormat="1" ht="18.75" x14ac:dyDescent="0.3">
      <c r="B436" s="63" t="s">
        <v>9</v>
      </c>
      <c r="C436" s="64" t="s">
        <v>158</v>
      </c>
      <c r="D436" s="64">
        <v>50</v>
      </c>
      <c r="E436" s="63" t="s">
        <v>362</v>
      </c>
      <c r="F436" s="64" t="s">
        <v>159</v>
      </c>
      <c r="G436" s="78">
        <v>4.4859999999999998</v>
      </c>
      <c r="H436" s="66" t="s">
        <v>58</v>
      </c>
      <c r="I436" s="72">
        <v>480000</v>
      </c>
      <c r="J436" s="68" t="s">
        <v>56</v>
      </c>
      <c r="K436" s="54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69" customFormat="1" ht="18.75" x14ac:dyDescent="0.3">
      <c r="B437" s="63" t="s">
        <v>9</v>
      </c>
      <c r="C437" s="64" t="s">
        <v>158</v>
      </c>
      <c r="D437" s="64">
        <v>53</v>
      </c>
      <c r="E437" s="63" t="s">
        <v>363</v>
      </c>
      <c r="F437" s="64"/>
      <c r="G437" s="78">
        <v>8.2579999999999991</v>
      </c>
      <c r="H437" s="66" t="s">
        <v>58</v>
      </c>
      <c r="I437" s="72">
        <v>480000</v>
      </c>
      <c r="J437" s="68" t="s">
        <v>56</v>
      </c>
      <c r="K437" s="54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69" customFormat="1" ht="18.75" x14ac:dyDescent="0.3">
      <c r="B438" s="63" t="s">
        <v>9</v>
      </c>
      <c r="C438" s="64" t="s">
        <v>158</v>
      </c>
      <c r="D438" s="64">
        <v>56</v>
      </c>
      <c r="E438" s="63" t="s">
        <v>364</v>
      </c>
      <c r="F438" s="64" t="s">
        <v>159</v>
      </c>
      <c r="G438" s="78">
        <v>4.7380000000000004</v>
      </c>
      <c r="H438" s="66" t="s">
        <v>178</v>
      </c>
      <c r="I438" s="72">
        <v>480000</v>
      </c>
      <c r="J438" s="68" t="s">
        <v>56</v>
      </c>
      <c r="K438" s="54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69" customFormat="1" ht="18.75" x14ac:dyDescent="0.3">
      <c r="B439" s="63" t="s">
        <v>9</v>
      </c>
      <c r="C439" s="64" t="s">
        <v>158</v>
      </c>
      <c r="D439" s="64">
        <v>60</v>
      </c>
      <c r="E439" s="63" t="s">
        <v>365</v>
      </c>
      <c r="F439" s="64" t="s">
        <v>159</v>
      </c>
      <c r="G439" s="78">
        <v>7.66</v>
      </c>
      <c r="H439" s="66" t="s">
        <v>178</v>
      </c>
      <c r="I439" s="72">
        <v>480000</v>
      </c>
      <c r="J439" s="68" t="s">
        <v>56</v>
      </c>
      <c r="K439" s="54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69" customFormat="1" ht="18.75" x14ac:dyDescent="0.3">
      <c r="B440" s="63" t="s">
        <v>9</v>
      </c>
      <c r="C440" s="64" t="s">
        <v>158</v>
      </c>
      <c r="D440" s="64">
        <v>61</v>
      </c>
      <c r="E440" s="63">
        <v>4.83</v>
      </c>
      <c r="F440" s="64" t="s">
        <v>185</v>
      </c>
      <c r="G440" s="78">
        <v>0.3</v>
      </c>
      <c r="H440" s="66" t="s">
        <v>178</v>
      </c>
      <c r="I440" s="72">
        <v>450000</v>
      </c>
      <c r="J440" s="68" t="s">
        <v>56</v>
      </c>
      <c r="K440" s="54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69" customFormat="1" ht="18.75" x14ac:dyDescent="0.3">
      <c r="B441" s="63" t="s">
        <v>9</v>
      </c>
      <c r="C441" s="64" t="s">
        <v>158</v>
      </c>
      <c r="D441" s="64">
        <v>105</v>
      </c>
      <c r="E441" s="63" t="s">
        <v>363</v>
      </c>
      <c r="F441" s="64" t="s">
        <v>159</v>
      </c>
      <c r="G441" s="78">
        <v>2.8919999999999999</v>
      </c>
      <c r="H441" s="66" t="s">
        <v>58</v>
      </c>
      <c r="I441" s="72">
        <v>480000</v>
      </c>
      <c r="J441" s="68" t="s">
        <v>56</v>
      </c>
      <c r="K441" s="54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69" customFormat="1" ht="18.75" x14ac:dyDescent="0.3">
      <c r="B442" s="63" t="s">
        <v>9</v>
      </c>
      <c r="C442" s="64" t="s">
        <v>158</v>
      </c>
      <c r="D442" s="64">
        <v>120</v>
      </c>
      <c r="E442" s="63" t="s">
        <v>363</v>
      </c>
      <c r="F442" s="64" t="s">
        <v>159</v>
      </c>
      <c r="G442" s="78">
        <v>4.5129999999999999</v>
      </c>
      <c r="H442" s="66" t="s">
        <v>58</v>
      </c>
      <c r="I442" s="72">
        <v>480000</v>
      </c>
      <c r="J442" s="68" t="s">
        <v>56</v>
      </c>
      <c r="K442" s="54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69" customFormat="1" ht="18.75" x14ac:dyDescent="0.3">
      <c r="B443" s="80" t="s">
        <v>9</v>
      </c>
      <c r="C443" s="81" t="s">
        <v>24</v>
      </c>
      <c r="D443" s="81">
        <v>20</v>
      </c>
      <c r="E443" s="81"/>
      <c r="F443" s="81" t="s">
        <v>255</v>
      </c>
      <c r="G443" s="82">
        <v>3.2280000000000002</v>
      </c>
      <c r="H443" s="95" t="s">
        <v>60</v>
      </c>
      <c r="I443" s="96">
        <v>300000</v>
      </c>
      <c r="J443" s="97" t="s">
        <v>56</v>
      </c>
      <c r="K443" s="54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69" customFormat="1" ht="18.75" x14ac:dyDescent="0.3">
      <c r="B444" s="26" t="s">
        <v>9</v>
      </c>
      <c r="C444" s="27" t="s">
        <v>24</v>
      </c>
      <c r="D444" s="27">
        <v>24</v>
      </c>
      <c r="E444" s="27"/>
      <c r="F444" s="27"/>
      <c r="G444" s="30">
        <v>2.1000000000000001E-2</v>
      </c>
      <c r="H444" s="33"/>
      <c r="I444" s="39">
        <v>280000</v>
      </c>
      <c r="J444" s="29" t="s">
        <v>56</v>
      </c>
      <c r="K444" s="54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ht="18.75" x14ac:dyDescent="0.3">
      <c r="B445" s="26" t="s">
        <v>9</v>
      </c>
      <c r="C445" s="27" t="s">
        <v>24</v>
      </c>
      <c r="D445" s="27">
        <v>25</v>
      </c>
      <c r="E445" s="27"/>
      <c r="F445" s="27" t="s">
        <v>255</v>
      </c>
      <c r="G445" s="30">
        <v>1.758</v>
      </c>
      <c r="H445" s="28" t="s">
        <v>60</v>
      </c>
      <c r="I445" s="39">
        <v>300000</v>
      </c>
      <c r="J445" s="29" t="s">
        <v>56</v>
      </c>
      <c r="K445" s="14"/>
      <c r="L445" s="11"/>
    </row>
    <row r="446" spans="2:21" ht="18.75" x14ac:dyDescent="0.3">
      <c r="B446" s="26" t="s">
        <v>9</v>
      </c>
      <c r="C446" s="27" t="s">
        <v>24</v>
      </c>
      <c r="D446" s="27">
        <v>26</v>
      </c>
      <c r="E446" s="27"/>
      <c r="F446" s="27"/>
      <c r="G446" s="30">
        <v>3.5999999999999997E-2</v>
      </c>
      <c r="H446" s="28"/>
      <c r="I446" s="39">
        <v>280000</v>
      </c>
      <c r="J446" s="29" t="s">
        <v>56</v>
      </c>
      <c r="K446" s="14"/>
      <c r="L446" s="11"/>
    </row>
    <row r="447" spans="2:21" s="84" customFormat="1" ht="18.75" x14ac:dyDescent="0.3">
      <c r="B447" s="80" t="s">
        <v>9</v>
      </c>
      <c r="C447" s="81" t="s">
        <v>24</v>
      </c>
      <c r="D447" s="81">
        <v>30</v>
      </c>
      <c r="E447" s="81"/>
      <c r="F447" s="81" t="s">
        <v>255</v>
      </c>
      <c r="G447" s="82">
        <v>6.1669999999999998</v>
      </c>
      <c r="H447" s="95" t="s">
        <v>60</v>
      </c>
      <c r="I447" s="96">
        <v>300000</v>
      </c>
      <c r="J447" s="97" t="s">
        <v>56</v>
      </c>
      <c r="K447" s="54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84" customFormat="1" ht="18.75" x14ac:dyDescent="0.3">
      <c r="B448" s="80" t="s">
        <v>9</v>
      </c>
      <c r="C448" s="81" t="s">
        <v>24</v>
      </c>
      <c r="D448" s="81">
        <v>36</v>
      </c>
      <c r="E448" s="81"/>
      <c r="F448" s="81" t="s">
        <v>255</v>
      </c>
      <c r="G448" s="82">
        <v>2.7810000000000001</v>
      </c>
      <c r="H448" s="95" t="s">
        <v>60</v>
      </c>
      <c r="I448" s="96">
        <v>300000</v>
      </c>
      <c r="J448" s="97" t="s">
        <v>56</v>
      </c>
      <c r="K448" s="54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84" customFormat="1" ht="18.75" x14ac:dyDescent="0.3">
      <c r="B449" s="80" t="s">
        <v>9</v>
      </c>
      <c r="C449" s="81" t="s">
        <v>24</v>
      </c>
      <c r="D449" s="81">
        <v>40</v>
      </c>
      <c r="E449" s="81"/>
      <c r="F449" s="81" t="s">
        <v>255</v>
      </c>
      <c r="G449" s="82">
        <v>3.3420000000000001</v>
      </c>
      <c r="H449" s="95" t="s">
        <v>60</v>
      </c>
      <c r="I449" s="96">
        <v>300000</v>
      </c>
      <c r="J449" s="97" t="s">
        <v>56</v>
      </c>
      <c r="K449" s="54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84" customFormat="1" ht="18.75" x14ac:dyDescent="0.3">
      <c r="B450" s="80" t="s">
        <v>9</v>
      </c>
      <c r="C450" s="81" t="s">
        <v>24</v>
      </c>
      <c r="D450" s="81">
        <v>45</v>
      </c>
      <c r="E450" s="81"/>
      <c r="F450" s="81" t="s">
        <v>255</v>
      </c>
      <c r="G450" s="82">
        <v>3.5609999999999999</v>
      </c>
      <c r="H450" s="95" t="s">
        <v>60</v>
      </c>
      <c r="I450" s="96">
        <v>300000</v>
      </c>
      <c r="J450" s="97" t="s">
        <v>56</v>
      </c>
      <c r="K450" s="54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4" customFormat="1" ht="18.75" x14ac:dyDescent="0.3">
      <c r="B451" s="80" t="s">
        <v>9</v>
      </c>
      <c r="C451" s="81" t="s">
        <v>24</v>
      </c>
      <c r="D451" s="81">
        <v>50</v>
      </c>
      <c r="E451" s="81"/>
      <c r="F451" s="81" t="s">
        <v>255</v>
      </c>
      <c r="G451" s="82">
        <v>3</v>
      </c>
      <c r="H451" s="66" t="s">
        <v>58</v>
      </c>
      <c r="I451" s="72">
        <v>300000</v>
      </c>
      <c r="J451" s="68" t="s">
        <v>385</v>
      </c>
      <c r="K451" s="54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ht="18.75" x14ac:dyDescent="0.3">
      <c r="B452" s="26" t="s">
        <v>9</v>
      </c>
      <c r="C452" s="27" t="s">
        <v>24</v>
      </c>
      <c r="D452" s="27">
        <v>50</v>
      </c>
      <c r="E452" s="27"/>
      <c r="F452" s="27" t="s">
        <v>135</v>
      </c>
      <c r="G452" s="30">
        <v>0.1</v>
      </c>
      <c r="H452" s="33" t="s">
        <v>60</v>
      </c>
      <c r="I452" s="39">
        <v>300000</v>
      </c>
      <c r="J452" s="29" t="s">
        <v>56</v>
      </c>
      <c r="K452" s="13"/>
      <c r="L452" s="11"/>
    </row>
    <row r="453" spans="2:21" ht="18.75" x14ac:dyDescent="0.3">
      <c r="B453" s="63" t="s">
        <v>9</v>
      </c>
      <c r="C453" s="64" t="s">
        <v>24</v>
      </c>
      <c r="D453" s="64">
        <v>60</v>
      </c>
      <c r="E453" s="64"/>
      <c r="F453" s="64" t="s">
        <v>193</v>
      </c>
      <c r="G453" s="82">
        <v>3</v>
      </c>
      <c r="H453" s="66" t="s">
        <v>58</v>
      </c>
      <c r="I453" s="72">
        <v>300000</v>
      </c>
      <c r="J453" s="68" t="s">
        <v>385</v>
      </c>
      <c r="K453" s="13"/>
      <c r="L453" s="11"/>
    </row>
    <row r="454" spans="2:21" s="69" customFormat="1" ht="18.75" x14ac:dyDescent="0.3">
      <c r="B454" s="63" t="s">
        <v>9</v>
      </c>
      <c r="C454" s="64" t="s">
        <v>24</v>
      </c>
      <c r="D454" s="64">
        <v>60</v>
      </c>
      <c r="E454" s="64"/>
      <c r="F454" s="64" t="s">
        <v>193</v>
      </c>
      <c r="G454" s="78">
        <v>1.0649999999999999</v>
      </c>
      <c r="H454" s="66" t="s">
        <v>60</v>
      </c>
      <c r="I454" s="96">
        <v>300000</v>
      </c>
      <c r="J454" s="68" t="s">
        <v>56</v>
      </c>
      <c r="K454" s="54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69" customFormat="1" ht="18.75" x14ac:dyDescent="0.3">
      <c r="B455" s="80" t="s">
        <v>9</v>
      </c>
      <c r="C455" s="81" t="s">
        <v>24</v>
      </c>
      <c r="D455" s="81">
        <v>70</v>
      </c>
      <c r="E455" s="81"/>
      <c r="F455" s="81" t="s">
        <v>255</v>
      </c>
      <c r="G455" s="82">
        <v>2.1240000000000001</v>
      </c>
      <c r="H455" s="95" t="s">
        <v>60</v>
      </c>
      <c r="I455" s="96">
        <v>300000</v>
      </c>
      <c r="J455" s="97" t="s">
        <v>56</v>
      </c>
      <c r="K455" s="54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69" customFormat="1" ht="18.75" x14ac:dyDescent="0.3">
      <c r="B456" s="80" t="s">
        <v>9</v>
      </c>
      <c r="C456" s="81" t="s">
        <v>24</v>
      </c>
      <c r="D456" s="81">
        <v>70</v>
      </c>
      <c r="E456" s="81"/>
      <c r="F456" s="81" t="s">
        <v>255</v>
      </c>
      <c r="G456" s="82">
        <v>2</v>
      </c>
      <c r="H456" s="95" t="s">
        <v>60</v>
      </c>
      <c r="I456" s="96">
        <v>300000</v>
      </c>
      <c r="J456" s="97" t="s">
        <v>56</v>
      </c>
      <c r="K456" s="54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ht="18.75" x14ac:dyDescent="0.3">
      <c r="B457" s="26" t="s">
        <v>9</v>
      </c>
      <c r="C457" s="27" t="s">
        <v>24</v>
      </c>
      <c r="D457" s="27">
        <v>80</v>
      </c>
      <c r="E457" s="27"/>
      <c r="F457" s="27" t="s">
        <v>6</v>
      </c>
      <c r="G457" s="30">
        <v>0.93700000000000006</v>
      </c>
      <c r="H457" s="33" t="s">
        <v>136</v>
      </c>
      <c r="I457" s="39">
        <v>300000</v>
      </c>
      <c r="J457" s="29" t="s">
        <v>56</v>
      </c>
      <c r="K457" s="13"/>
      <c r="L457" s="11"/>
    </row>
    <row r="458" spans="2:21" ht="18.75" x14ac:dyDescent="0.3">
      <c r="B458" s="26" t="s">
        <v>9</v>
      </c>
      <c r="C458" s="27" t="s">
        <v>24</v>
      </c>
      <c r="D458" s="27">
        <v>90</v>
      </c>
      <c r="E458" s="27"/>
      <c r="F458" s="27" t="s">
        <v>53</v>
      </c>
      <c r="G458" s="30">
        <v>0.23400000000000001</v>
      </c>
      <c r="H458" s="33" t="s">
        <v>62</v>
      </c>
      <c r="I458" s="39">
        <v>300000</v>
      </c>
      <c r="J458" s="29" t="s">
        <v>56</v>
      </c>
      <c r="K458" s="52"/>
      <c r="L458" s="11"/>
    </row>
    <row r="459" spans="2:21" ht="18.75" x14ac:dyDescent="0.3">
      <c r="B459" s="26" t="s">
        <v>9</v>
      </c>
      <c r="C459" s="27" t="s">
        <v>24</v>
      </c>
      <c r="D459" s="27">
        <v>95</v>
      </c>
      <c r="E459" s="27"/>
      <c r="F459" s="27" t="s">
        <v>82</v>
      </c>
      <c r="G459" s="30">
        <v>0.14000000000000001</v>
      </c>
      <c r="H459" s="28" t="s">
        <v>34</v>
      </c>
      <c r="I459" s="39">
        <v>300000</v>
      </c>
      <c r="J459" s="29" t="s">
        <v>56</v>
      </c>
      <c r="K459" s="47"/>
      <c r="L459" s="11"/>
    </row>
    <row r="460" spans="2:21" ht="18.75" x14ac:dyDescent="0.3">
      <c r="B460" s="63" t="s">
        <v>9</v>
      </c>
      <c r="C460" s="64" t="s">
        <v>24</v>
      </c>
      <c r="D460" s="64">
        <v>100</v>
      </c>
      <c r="E460" s="64"/>
      <c r="F460" s="64" t="s">
        <v>175</v>
      </c>
      <c r="G460" s="30">
        <v>0.45700000000000002</v>
      </c>
      <c r="H460" s="28" t="s">
        <v>60</v>
      </c>
      <c r="I460" s="39">
        <v>300000</v>
      </c>
      <c r="J460" s="29" t="s">
        <v>56</v>
      </c>
      <c r="K460" s="13"/>
      <c r="L460" s="11"/>
    </row>
    <row r="461" spans="2:21" s="69" customFormat="1" ht="18.75" x14ac:dyDescent="0.3">
      <c r="B461" s="63" t="s">
        <v>9</v>
      </c>
      <c r="C461" s="64" t="s">
        <v>24</v>
      </c>
      <c r="D461" s="64">
        <v>100</v>
      </c>
      <c r="E461" s="64"/>
      <c r="F461" s="64" t="s">
        <v>175</v>
      </c>
      <c r="G461" s="78">
        <v>1.5740000000000001</v>
      </c>
      <c r="H461" s="73" t="s">
        <v>60</v>
      </c>
      <c r="I461" s="96">
        <v>300000</v>
      </c>
      <c r="J461" s="68" t="s">
        <v>268</v>
      </c>
      <c r="K461" s="13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s="69" customFormat="1" ht="18.75" x14ac:dyDescent="0.3">
      <c r="B462" s="63" t="s">
        <v>9</v>
      </c>
      <c r="C462" s="64" t="s">
        <v>24</v>
      </c>
      <c r="D462" s="64">
        <v>110</v>
      </c>
      <c r="E462" s="64"/>
      <c r="F462" s="64" t="s">
        <v>135</v>
      </c>
      <c r="G462" s="78">
        <v>3.1379999999999999</v>
      </c>
      <c r="H462" s="73" t="s">
        <v>60</v>
      </c>
      <c r="I462" s="96">
        <v>300000</v>
      </c>
      <c r="J462" s="68" t="s">
        <v>268</v>
      </c>
      <c r="K462" s="13"/>
      <c r="L462" s="1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ht="18.75" x14ac:dyDescent="0.3">
      <c r="B463" s="26" t="s">
        <v>9</v>
      </c>
      <c r="C463" s="27" t="s">
        <v>24</v>
      </c>
      <c r="D463" s="27">
        <v>110</v>
      </c>
      <c r="E463" s="27"/>
      <c r="F463" s="27" t="s">
        <v>135</v>
      </c>
      <c r="G463" s="30">
        <v>0.376</v>
      </c>
      <c r="H463" s="28" t="s">
        <v>136</v>
      </c>
      <c r="I463" s="39">
        <v>300000</v>
      </c>
      <c r="J463" s="29" t="s">
        <v>56</v>
      </c>
      <c r="K463" s="13"/>
      <c r="L463" s="11"/>
    </row>
    <row r="464" spans="2:21" ht="18.75" x14ac:dyDescent="0.3">
      <c r="B464" s="26" t="s">
        <v>9</v>
      </c>
      <c r="C464" s="27" t="s">
        <v>24</v>
      </c>
      <c r="D464" s="27">
        <v>120</v>
      </c>
      <c r="E464" s="27"/>
      <c r="F464" s="27" t="s">
        <v>167</v>
      </c>
      <c r="G464" s="30">
        <v>11.297000000000001</v>
      </c>
      <c r="H464" s="33" t="s">
        <v>62</v>
      </c>
      <c r="I464" s="39">
        <v>280000</v>
      </c>
      <c r="J464" s="29" t="s">
        <v>56</v>
      </c>
      <c r="K464" s="13"/>
      <c r="L464" s="11"/>
    </row>
    <row r="465" spans="2:21" ht="18.75" x14ac:dyDescent="0.3">
      <c r="B465" s="63" t="s">
        <v>9</v>
      </c>
      <c r="C465" s="64" t="s">
        <v>24</v>
      </c>
      <c r="D465" s="64">
        <v>130</v>
      </c>
      <c r="E465" s="64"/>
      <c r="F465" s="81" t="s">
        <v>389</v>
      </c>
      <c r="G465" s="82">
        <v>2.64</v>
      </c>
      <c r="H465" s="66" t="s">
        <v>58</v>
      </c>
      <c r="I465" s="72">
        <v>300000</v>
      </c>
      <c r="J465" s="68" t="s">
        <v>407</v>
      </c>
      <c r="K465" s="13"/>
      <c r="L465" s="11"/>
    </row>
    <row r="466" spans="2:21" s="69" customFormat="1" ht="18.75" x14ac:dyDescent="0.3">
      <c r="B466" s="63" t="s">
        <v>9</v>
      </c>
      <c r="C466" s="64" t="s">
        <v>24</v>
      </c>
      <c r="D466" s="64">
        <v>140</v>
      </c>
      <c r="E466" s="64"/>
      <c r="F466" s="64" t="s">
        <v>135</v>
      </c>
      <c r="G466" s="78">
        <v>1.264</v>
      </c>
      <c r="H466" s="66" t="s">
        <v>60</v>
      </c>
      <c r="I466" s="96">
        <v>280000</v>
      </c>
      <c r="J466" s="68" t="s">
        <v>268</v>
      </c>
      <c r="K466" s="13"/>
      <c r="L466" s="11"/>
      <c r="M466" s="1"/>
      <c r="N466" s="1"/>
      <c r="O466" s="1"/>
      <c r="P466" s="1"/>
      <c r="Q466" s="1"/>
      <c r="R466" s="1"/>
      <c r="S466" s="1"/>
      <c r="T466" s="1"/>
      <c r="U466" s="1"/>
    </row>
    <row r="467" spans="2:21" ht="18.75" x14ac:dyDescent="0.3">
      <c r="B467" s="26" t="s">
        <v>9</v>
      </c>
      <c r="C467" s="27" t="s">
        <v>24</v>
      </c>
      <c r="D467" s="27">
        <v>150</v>
      </c>
      <c r="E467" s="27"/>
      <c r="F467" s="27" t="s">
        <v>402</v>
      </c>
      <c r="G467" s="30">
        <v>21.251000000000001</v>
      </c>
      <c r="H467" s="33" t="s">
        <v>62</v>
      </c>
      <c r="I467" s="39">
        <v>280000</v>
      </c>
      <c r="J467" s="29" t="s">
        <v>56</v>
      </c>
      <c r="K467" s="52"/>
      <c r="L467" s="11"/>
    </row>
    <row r="468" spans="2:21" ht="18.75" x14ac:dyDescent="0.3">
      <c r="B468" s="26" t="s">
        <v>9</v>
      </c>
      <c r="C468" s="27" t="s">
        <v>24</v>
      </c>
      <c r="D468" s="27">
        <v>190</v>
      </c>
      <c r="E468" s="27"/>
      <c r="F468" s="27" t="s">
        <v>47</v>
      </c>
      <c r="G468" s="30">
        <v>3.5819999999999999</v>
      </c>
      <c r="H468" s="33" t="s">
        <v>62</v>
      </c>
      <c r="I468" s="39">
        <v>280000</v>
      </c>
      <c r="J468" s="29" t="s">
        <v>56</v>
      </c>
      <c r="K468" s="13"/>
      <c r="L468" s="112"/>
    </row>
    <row r="469" spans="2:21" ht="18.75" x14ac:dyDescent="0.3">
      <c r="B469" s="63" t="s">
        <v>9</v>
      </c>
      <c r="C469" s="64" t="s">
        <v>24</v>
      </c>
      <c r="D469" s="64">
        <v>210</v>
      </c>
      <c r="E469" s="64"/>
      <c r="F469" s="81" t="s">
        <v>389</v>
      </c>
      <c r="G469" s="82">
        <v>3</v>
      </c>
      <c r="H469" s="66" t="s">
        <v>58</v>
      </c>
      <c r="I469" s="72">
        <v>300000</v>
      </c>
      <c r="J469" s="68" t="s">
        <v>385</v>
      </c>
      <c r="K469" s="13"/>
      <c r="L469" s="121"/>
    </row>
    <row r="470" spans="2:21" ht="18.75" x14ac:dyDescent="0.3">
      <c r="B470" s="63" t="s">
        <v>9</v>
      </c>
      <c r="C470" s="64" t="s">
        <v>24</v>
      </c>
      <c r="D470" s="64">
        <v>220</v>
      </c>
      <c r="E470" s="64"/>
      <c r="F470" s="81" t="s">
        <v>389</v>
      </c>
      <c r="G470" s="82">
        <v>3.06</v>
      </c>
      <c r="H470" s="66" t="s">
        <v>58</v>
      </c>
      <c r="I470" s="72">
        <v>300000</v>
      </c>
      <c r="J470" s="68" t="s">
        <v>407</v>
      </c>
      <c r="K470" s="13"/>
      <c r="L470" s="121"/>
    </row>
    <row r="471" spans="2:21" ht="18.75" x14ac:dyDescent="0.3">
      <c r="B471" s="26" t="s">
        <v>9</v>
      </c>
      <c r="C471" s="27" t="s">
        <v>24</v>
      </c>
      <c r="D471" s="27">
        <v>250</v>
      </c>
      <c r="E471" s="27"/>
      <c r="F471" s="27" t="s">
        <v>130</v>
      </c>
      <c r="G471" s="30">
        <v>1.0349999999999999</v>
      </c>
      <c r="H471" s="33" t="s">
        <v>62</v>
      </c>
      <c r="I471" s="39">
        <v>280000</v>
      </c>
      <c r="J471" s="29" t="s">
        <v>56</v>
      </c>
      <c r="K471" s="13"/>
      <c r="L471" s="11"/>
    </row>
    <row r="472" spans="2:21" ht="18.75" x14ac:dyDescent="0.3">
      <c r="B472" s="26" t="s">
        <v>9</v>
      </c>
      <c r="C472" s="27" t="s">
        <v>24</v>
      </c>
      <c r="D472" s="27">
        <v>300</v>
      </c>
      <c r="E472" s="27"/>
      <c r="F472" s="27" t="s">
        <v>179</v>
      </c>
      <c r="G472" s="30">
        <v>2.7040000000000002</v>
      </c>
      <c r="H472" s="33" t="s">
        <v>60</v>
      </c>
      <c r="I472" s="39">
        <v>280000</v>
      </c>
      <c r="J472" s="29" t="s">
        <v>56</v>
      </c>
      <c r="K472" s="13"/>
      <c r="L472" s="11"/>
      <c r="N472" s="1" t="s">
        <v>6</v>
      </c>
    </row>
    <row r="473" spans="2:21" ht="18.75" x14ac:dyDescent="0.3">
      <c r="B473" s="26" t="s">
        <v>10</v>
      </c>
      <c r="C473" s="27" t="s">
        <v>24</v>
      </c>
      <c r="D473" s="27" t="s">
        <v>33</v>
      </c>
      <c r="E473" s="27"/>
      <c r="F473" s="27" t="s">
        <v>271</v>
      </c>
      <c r="G473" s="30">
        <v>0.90500000000000003</v>
      </c>
      <c r="H473" s="33"/>
      <c r="I473" s="39">
        <v>250000</v>
      </c>
      <c r="J473" s="29" t="s">
        <v>56</v>
      </c>
      <c r="K473" s="13"/>
      <c r="L473" s="11"/>
    </row>
    <row r="474" spans="2:21" ht="18.75" x14ac:dyDescent="0.3">
      <c r="B474" s="26" t="s">
        <v>9</v>
      </c>
      <c r="C474" s="27" t="s">
        <v>157</v>
      </c>
      <c r="D474" s="27">
        <v>150</v>
      </c>
      <c r="E474" s="27"/>
      <c r="F474" s="27"/>
      <c r="G474" s="30">
        <v>1.4359999999999999</v>
      </c>
      <c r="H474" s="33" t="s">
        <v>34</v>
      </c>
      <c r="I474" s="39">
        <v>190000</v>
      </c>
      <c r="J474" s="29" t="s">
        <v>56</v>
      </c>
      <c r="K474" s="13"/>
      <c r="L474" s="11"/>
    </row>
    <row r="475" spans="2:21" ht="18.75" x14ac:dyDescent="0.3">
      <c r="B475" s="26" t="s">
        <v>9</v>
      </c>
      <c r="C475" s="27" t="s">
        <v>27</v>
      </c>
      <c r="D475" s="27">
        <v>30</v>
      </c>
      <c r="E475" s="27"/>
      <c r="F475" s="27" t="s">
        <v>112</v>
      </c>
      <c r="G475" s="30">
        <v>0.115</v>
      </c>
      <c r="H475" s="33" t="s">
        <v>60</v>
      </c>
      <c r="I475" s="39">
        <v>380000</v>
      </c>
      <c r="J475" s="29" t="s">
        <v>56</v>
      </c>
      <c r="K475" s="13"/>
      <c r="L475" s="11"/>
    </row>
    <row r="476" spans="2:21" ht="18.75" x14ac:dyDescent="0.3">
      <c r="B476" s="26" t="s">
        <v>9</v>
      </c>
      <c r="C476" s="27" t="s">
        <v>27</v>
      </c>
      <c r="D476" s="27">
        <v>36</v>
      </c>
      <c r="E476" s="27"/>
      <c r="F476" s="27" t="s">
        <v>112</v>
      </c>
      <c r="G476" s="30">
        <v>2.109</v>
      </c>
      <c r="H476" s="33" t="s">
        <v>60</v>
      </c>
      <c r="I476" s="39">
        <v>380000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27</v>
      </c>
      <c r="D477" s="27">
        <v>40</v>
      </c>
      <c r="E477" s="27"/>
      <c r="F477" s="27" t="s">
        <v>112</v>
      </c>
      <c r="G477" s="30">
        <v>3.9940000000000002</v>
      </c>
      <c r="H477" s="33" t="s">
        <v>60</v>
      </c>
      <c r="I477" s="39">
        <v>380000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50</v>
      </c>
      <c r="E478" s="27"/>
      <c r="F478" s="27" t="s">
        <v>112</v>
      </c>
      <c r="G478" s="30">
        <v>1.7669999999999999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56</v>
      </c>
      <c r="E479" s="27"/>
      <c r="F479" s="27" t="s">
        <v>112</v>
      </c>
      <c r="G479" s="30">
        <v>0.32300000000000001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60</v>
      </c>
      <c r="E480" s="27"/>
      <c r="F480" s="27" t="s">
        <v>47</v>
      </c>
      <c r="G480" s="30">
        <v>3.1E-2</v>
      </c>
      <c r="H480" s="33" t="s">
        <v>62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60</v>
      </c>
      <c r="E481" s="27"/>
      <c r="F481" s="27" t="s">
        <v>221</v>
      </c>
      <c r="G481" s="30">
        <v>2.9929999999999999</v>
      </c>
      <c r="H481" s="33" t="s">
        <v>58</v>
      </c>
      <c r="I481" s="39">
        <v>390000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70</v>
      </c>
      <c r="E482" s="27"/>
      <c r="F482" s="27" t="s">
        <v>221</v>
      </c>
      <c r="G482" s="30">
        <v>2.181</v>
      </c>
      <c r="H482" s="33" t="s">
        <v>58</v>
      </c>
      <c r="I482" s="39">
        <v>390000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80</v>
      </c>
      <c r="E483" s="27"/>
      <c r="F483" s="27" t="s">
        <v>221</v>
      </c>
      <c r="G483" s="30">
        <v>1.427</v>
      </c>
      <c r="H483" s="33" t="s">
        <v>58</v>
      </c>
      <c r="I483" s="39">
        <v>390000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90</v>
      </c>
      <c r="E484" s="27"/>
      <c r="F484" s="27" t="s">
        <v>112</v>
      </c>
      <c r="G484" s="30">
        <v>1.1419999999999999</v>
      </c>
      <c r="H484" s="33" t="s">
        <v>62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110</v>
      </c>
      <c r="E485" s="27"/>
      <c r="F485" s="27" t="s">
        <v>112</v>
      </c>
      <c r="G485" s="30">
        <v>1.026</v>
      </c>
      <c r="H485" s="33" t="s">
        <v>62</v>
      </c>
      <c r="I485" s="39">
        <v>340000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120</v>
      </c>
      <c r="E486" s="27"/>
      <c r="F486" s="27" t="s">
        <v>49</v>
      </c>
      <c r="G486" s="30">
        <v>9.8000000000000004E-2</v>
      </c>
      <c r="H486" s="33" t="s">
        <v>62</v>
      </c>
      <c r="I486" s="39">
        <v>340000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120</v>
      </c>
      <c r="E487" s="27"/>
      <c r="F487" s="27" t="s">
        <v>112</v>
      </c>
      <c r="G487" s="30">
        <v>2.4689999999999999</v>
      </c>
      <c r="H487" s="33" t="s">
        <v>63</v>
      </c>
      <c r="I487" s="39">
        <v>340000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125</v>
      </c>
      <c r="E488" s="27"/>
      <c r="F488" s="27" t="s">
        <v>112</v>
      </c>
      <c r="G488" s="30">
        <v>0.45300000000000001</v>
      </c>
      <c r="H488" s="33" t="s">
        <v>63</v>
      </c>
      <c r="I488" s="39">
        <v>340000</v>
      </c>
      <c r="J488" s="49" t="s">
        <v>56</v>
      </c>
      <c r="K488" s="88"/>
      <c r="L488" s="11"/>
    </row>
    <row r="489" spans="2:68" ht="18.75" x14ac:dyDescent="0.3">
      <c r="B489" s="26" t="s">
        <v>9</v>
      </c>
      <c r="C489" s="27" t="s">
        <v>27</v>
      </c>
      <c r="D489" s="27">
        <v>130</v>
      </c>
      <c r="E489" s="27"/>
      <c r="F489" s="27" t="s">
        <v>112</v>
      </c>
      <c r="G489" s="30">
        <v>0.86399999999999999</v>
      </c>
      <c r="H489" s="33" t="s">
        <v>62</v>
      </c>
      <c r="I489" s="39">
        <v>340000</v>
      </c>
      <c r="J489" s="49" t="s">
        <v>56</v>
      </c>
      <c r="L489" s="1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</row>
    <row r="490" spans="2:68" ht="18.75" x14ac:dyDescent="0.3">
      <c r="B490" s="26" t="s">
        <v>9</v>
      </c>
      <c r="C490" s="27" t="s">
        <v>27</v>
      </c>
      <c r="D490" s="27">
        <v>130</v>
      </c>
      <c r="E490" s="27"/>
      <c r="F490" s="27" t="s">
        <v>112</v>
      </c>
      <c r="G490" s="30">
        <v>4.8280000000000003</v>
      </c>
      <c r="H490" s="33" t="s">
        <v>62</v>
      </c>
      <c r="I490" s="39">
        <v>340000</v>
      </c>
      <c r="J490" s="49" t="s">
        <v>56</v>
      </c>
      <c r="K490" s="7"/>
      <c r="L490" s="1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</row>
    <row r="491" spans="2:68" s="2" customFormat="1" ht="18.75" x14ac:dyDescent="0.3">
      <c r="B491" s="26" t="s">
        <v>9</v>
      </c>
      <c r="C491" s="27" t="s">
        <v>27</v>
      </c>
      <c r="D491" s="27">
        <v>150</v>
      </c>
      <c r="E491" s="27"/>
      <c r="F491" s="27" t="s">
        <v>148</v>
      </c>
      <c r="G491" s="30">
        <v>3.3069999999999999</v>
      </c>
      <c r="H491" s="33" t="s">
        <v>62</v>
      </c>
      <c r="I491" s="39">
        <v>340000</v>
      </c>
      <c r="J491" s="49" t="s">
        <v>56</v>
      </c>
      <c r="K491" s="1"/>
      <c r="L491" s="11"/>
      <c r="M491" s="1"/>
      <c r="N491" s="1"/>
      <c r="O491" s="1"/>
      <c r="P491" s="1"/>
      <c r="Q491" s="1"/>
      <c r="R491" s="1"/>
    </row>
    <row r="492" spans="2:68" s="2" customFormat="1" ht="18.75" x14ac:dyDescent="0.3">
      <c r="B492" s="26" t="s">
        <v>9</v>
      </c>
      <c r="C492" s="27" t="s">
        <v>27</v>
      </c>
      <c r="D492" s="27">
        <v>180</v>
      </c>
      <c r="E492" s="27"/>
      <c r="F492" s="27" t="s">
        <v>148</v>
      </c>
      <c r="G492" s="30">
        <v>3.0739999999999998</v>
      </c>
      <c r="H492" s="33" t="s">
        <v>58</v>
      </c>
      <c r="I492" s="39">
        <v>340000</v>
      </c>
      <c r="J492" s="49" t="s">
        <v>56</v>
      </c>
      <c r="K492" s="1"/>
      <c r="L492" s="11"/>
      <c r="M492" s="1"/>
      <c r="N492" s="1"/>
      <c r="O492" s="1"/>
      <c r="P492" s="1"/>
      <c r="Q492" s="1"/>
      <c r="R492" s="1"/>
    </row>
    <row r="493" spans="2:68" s="2" customFormat="1" ht="18.75" x14ac:dyDescent="0.3">
      <c r="B493" s="26" t="s">
        <v>9</v>
      </c>
      <c r="C493" s="27" t="s">
        <v>27</v>
      </c>
      <c r="D493" s="27">
        <v>180</v>
      </c>
      <c r="E493" s="27"/>
      <c r="F493" s="27"/>
      <c r="G493" s="30">
        <v>0.39300000000000002</v>
      </c>
      <c r="H493" s="33"/>
      <c r="I493" s="39">
        <v>340000</v>
      </c>
      <c r="J493" s="49" t="s">
        <v>56</v>
      </c>
      <c r="K493" s="1"/>
      <c r="L493" s="11"/>
      <c r="M493" s="1"/>
      <c r="N493" s="1"/>
      <c r="O493" s="1"/>
      <c r="P493" s="1"/>
      <c r="Q493" s="1"/>
      <c r="R493" s="1"/>
    </row>
    <row r="494" spans="2:68" s="2" customFormat="1" ht="18.75" x14ac:dyDescent="0.3">
      <c r="B494" s="26" t="s">
        <v>9</v>
      </c>
      <c r="C494" s="27" t="s">
        <v>27</v>
      </c>
      <c r="D494" s="27">
        <v>200</v>
      </c>
      <c r="E494" s="27"/>
      <c r="F494" s="27" t="s">
        <v>148</v>
      </c>
      <c r="G494" s="30">
        <v>0.60499999999999998</v>
      </c>
      <c r="H494" s="33" t="s">
        <v>58</v>
      </c>
      <c r="I494" s="39">
        <v>340000</v>
      </c>
      <c r="J494" s="49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210</v>
      </c>
      <c r="E495" s="27"/>
      <c r="F495" s="27" t="s">
        <v>148</v>
      </c>
      <c r="G495" s="30">
        <v>3.6230000000000002</v>
      </c>
      <c r="H495" s="33" t="s">
        <v>58</v>
      </c>
      <c r="I495" s="39">
        <v>340000</v>
      </c>
      <c r="J495" s="49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220</v>
      </c>
      <c r="E496" s="27"/>
      <c r="F496" s="27" t="s">
        <v>148</v>
      </c>
      <c r="G496" s="30">
        <v>1.2529999999999999</v>
      </c>
      <c r="H496" s="33" t="s">
        <v>58</v>
      </c>
      <c r="I496" s="39">
        <v>340000</v>
      </c>
      <c r="J496" s="49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230</v>
      </c>
      <c r="E497" s="27"/>
      <c r="F497" s="27" t="s">
        <v>219</v>
      </c>
      <c r="G497" s="30">
        <v>4.8449999999999998</v>
      </c>
      <c r="H497" s="33" t="s">
        <v>58</v>
      </c>
      <c r="I497" s="39">
        <v>340000</v>
      </c>
      <c r="J497" s="49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375</v>
      </c>
      <c r="D498" s="27">
        <v>50</v>
      </c>
      <c r="E498" s="27" t="s">
        <v>376</v>
      </c>
      <c r="F498" s="27" t="s">
        <v>154</v>
      </c>
      <c r="G498" s="30">
        <v>9.5000000000000001E-2</v>
      </c>
      <c r="H498" s="33"/>
      <c r="I498" s="39">
        <v>130000</v>
      </c>
      <c r="J498" s="49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375</v>
      </c>
      <c r="D499" s="27">
        <v>55</v>
      </c>
      <c r="E499" s="27" t="s">
        <v>377</v>
      </c>
      <c r="F499" s="27" t="s">
        <v>154</v>
      </c>
      <c r="G499" s="30">
        <v>0.107</v>
      </c>
      <c r="H499" s="33"/>
      <c r="I499" s="39">
        <v>130000</v>
      </c>
      <c r="J499" s="49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375</v>
      </c>
      <c r="D500" s="27">
        <v>65</v>
      </c>
      <c r="E500" s="27"/>
      <c r="F500" s="27" t="s">
        <v>154</v>
      </c>
      <c r="G500" s="30"/>
      <c r="H500" s="33"/>
      <c r="I500" s="39">
        <v>130000</v>
      </c>
      <c r="J500" s="49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69</v>
      </c>
      <c r="D501" s="27">
        <v>23</v>
      </c>
      <c r="E501" s="27"/>
      <c r="F501" s="27" t="s">
        <v>126</v>
      </c>
      <c r="G501" s="30">
        <v>0.27600000000000002</v>
      </c>
      <c r="H501" s="28" t="s">
        <v>63</v>
      </c>
      <c r="I501" s="38">
        <v>5500000</v>
      </c>
      <c r="J501" s="49" t="s">
        <v>56</v>
      </c>
      <c r="K501" s="87"/>
      <c r="L501" s="8"/>
    </row>
    <row r="502" spans="2:68" s="2" customFormat="1" ht="18.75" x14ac:dyDescent="0.3">
      <c r="B502" s="26" t="s">
        <v>9</v>
      </c>
      <c r="C502" s="27" t="s">
        <v>69</v>
      </c>
      <c r="D502" s="27">
        <v>26</v>
      </c>
      <c r="E502" s="27"/>
      <c r="F502" s="27" t="s">
        <v>126</v>
      </c>
      <c r="G502" s="30">
        <v>0.28399999999999997</v>
      </c>
      <c r="H502" s="28" t="s">
        <v>63</v>
      </c>
      <c r="I502" s="38">
        <v>5500000</v>
      </c>
      <c r="J502" s="49" t="s">
        <v>56</v>
      </c>
      <c r="L502" s="8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</row>
    <row r="503" spans="2:68" s="2" customFormat="1" ht="18.75" x14ac:dyDescent="0.3">
      <c r="B503" s="26" t="s">
        <v>9</v>
      </c>
      <c r="C503" s="27" t="s">
        <v>69</v>
      </c>
      <c r="D503" s="27">
        <v>100</v>
      </c>
      <c r="E503" s="27"/>
      <c r="F503" s="27" t="s">
        <v>125</v>
      </c>
      <c r="G503" s="30">
        <v>8.4000000000000005E-2</v>
      </c>
      <c r="H503" s="28" t="s">
        <v>63</v>
      </c>
      <c r="I503" s="38">
        <v>5500000</v>
      </c>
      <c r="J503" s="29" t="s">
        <v>56</v>
      </c>
      <c r="L503" s="8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2:68" s="2" customFormat="1" ht="18.75" x14ac:dyDescent="0.3">
      <c r="B504" s="26" t="s">
        <v>10</v>
      </c>
      <c r="C504" s="27" t="s">
        <v>69</v>
      </c>
      <c r="D504" s="27" t="s">
        <v>242</v>
      </c>
      <c r="E504" s="27"/>
      <c r="F504" s="27" t="s">
        <v>246</v>
      </c>
      <c r="G504" s="30">
        <v>0.152</v>
      </c>
      <c r="H504" s="28"/>
      <c r="I504" s="38">
        <v>24000000</v>
      </c>
      <c r="J504" s="29" t="s">
        <v>56</v>
      </c>
      <c r="L504" s="8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2:68" s="2" customFormat="1" ht="18.75" x14ac:dyDescent="0.3">
      <c r="B505" s="26" t="s">
        <v>10</v>
      </c>
      <c r="C505" s="27" t="s">
        <v>69</v>
      </c>
      <c r="D505" s="27" t="s">
        <v>243</v>
      </c>
      <c r="E505" s="27"/>
      <c r="F505" s="27" t="s">
        <v>246</v>
      </c>
      <c r="G505" s="30">
        <v>0.157</v>
      </c>
      <c r="H505" s="28"/>
      <c r="I505" s="38">
        <v>24000000</v>
      </c>
      <c r="J505" s="29" t="s">
        <v>56</v>
      </c>
      <c r="L505" s="8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2:68" ht="18.75" x14ac:dyDescent="0.3">
      <c r="B506" s="26" t="s">
        <v>14</v>
      </c>
      <c r="C506" s="27" t="s">
        <v>28</v>
      </c>
      <c r="D506" s="27">
        <v>2</v>
      </c>
      <c r="E506" s="27" t="s">
        <v>337</v>
      </c>
      <c r="F506" s="27" t="s">
        <v>144</v>
      </c>
      <c r="G506" s="30">
        <v>0.54</v>
      </c>
      <c r="H506" s="28" t="s">
        <v>62</v>
      </c>
      <c r="I506" s="38">
        <v>490000</v>
      </c>
      <c r="J506" s="29" t="s">
        <v>56</v>
      </c>
      <c r="K506" s="2"/>
      <c r="L506" s="2"/>
      <c r="M506" s="2"/>
      <c r="N506" s="2"/>
      <c r="O506" s="2"/>
      <c r="P506" s="2"/>
      <c r="Q506" s="2"/>
      <c r="R506" s="2"/>
    </row>
    <row r="507" spans="2:68" ht="18.75" x14ac:dyDescent="0.3">
      <c r="B507" s="26" t="s">
        <v>14</v>
      </c>
      <c r="C507" s="27" t="s">
        <v>28</v>
      </c>
      <c r="D507" s="27">
        <v>3</v>
      </c>
      <c r="E507" s="26" t="s">
        <v>338</v>
      </c>
      <c r="F507" s="27" t="s">
        <v>134</v>
      </c>
      <c r="G507" s="30">
        <v>0.28100000000000003</v>
      </c>
      <c r="H507" s="28" t="s">
        <v>84</v>
      </c>
      <c r="I507" s="38">
        <v>490000</v>
      </c>
      <c r="J507" s="29" t="s">
        <v>56</v>
      </c>
      <c r="K507" s="2"/>
      <c r="L507" s="2"/>
      <c r="M507" s="2"/>
      <c r="N507" s="2"/>
      <c r="O507" s="2"/>
      <c r="P507" s="2"/>
      <c r="Q507" s="2"/>
      <c r="R507" s="2"/>
    </row>
    <row r="508" spans="2:68" ht="18.75" x14ac:dyDescent="0.3">
      <c r="B508" s="26" t="s">
        <v>14</v>
      </c>
      <c r="C508" s="27" t="s">
        <v>28</v>
      </c>
      <c r="D508" s="27">
        <v>3</v>
      </c>
      <c r="E508" s="26" t="s">
        <v>337</v>
      </c>
      <c r="F508" s="27" t="s">
        <v>144</v>
      </c>
      <c r="G508" s="30">
        <v>9.8490000000000002</v>
      </c>
      <c r="H508" s="28" t="s">
        <v>62</v>
      </c>
      <c r="I508" s="38">
        <v>490000</v>
      </c>
      <c r="J508" s="29" t="s">
        <v>56</v>
      </c>
      <c r="K508" s="2"/>
      <c r="L508" s="2"/>
      <c r="M508" s="2"/>
      <c r="N508" s="2"/>
      <c r="O508" s="2"/>
      <c r="P508" s="2"/>
      <c r="Q508" s="2"/>
      <c r="R508" s="2"/>
    </row>
    <row r="509" spans="2:68" ht="18.75" x14ac:dyDescent="0.3">
      <c r="B509" s="26" t="s">
        <v>14</v>
      </c>
      <c r="C509" s="27" t="s">
        <v>28</v>
      </c>
      <c r="D509" s="27">
        <v>3.5</v>
      </c>
      <c r="E509" s="26" t="s">
        <v>337</v>
      </c>
      <c r="F509" s="27" t="s">
        <v>203</v>
      </c>
      <c r="G509" s="30">
        <v>3.8959999999999999</v>
      </c>
      <c r="H509" s="28" t="s">
        <v>62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4</v>
      </c>
      <c r="E510" s="26" t="s">
        <v>337</v>
      </c>
      <c r="F510" s="27" t="s">
        <v>215</v>
      </c>
      <c r="G510" s="30">
        <v>24.888999999999999</v>
      </c>
      <c r="H510" s="28" t="s">
        <v>62</v>
      </c>
      <c r="I510" s="38">
        <v>490000</v>
      </c>
      <c r="J510" s="29" t="s">
        <v>56</v>
      </c>
    </row>
    <row r="511" spans="2:68" ht="18.75" x14ac:dyDescent="0.3">
      <c r="B511" s="26" t="s">
        <v>14</v>
      </c>
      <c r="C511" s="27" t="s">
        <v>28</v>
      </c>
      <c r="D511" s="27">
        <v>4.5</v>
      </c>
      <c r="E511" s="26" t="s">
        <v>339</v>
      </c>
      <c r="F511" s="27" t="s">
        <v>97</v>
      </c>
      <c r="G511" s="30">
        <v>11.497999999999999</v>
      </c>
      <c r="H511" s="28" t="s">
        <v>62</v>
      </c>
      <c r="I511" s="38">
        <v>390000</v>
      </c>
      <c r="J511" s="29" t="s">
        <v>56</v>
      </c>
    </row>
    <row r="512" spans="2:68" ht="18.75" x14ac:dyDescent="0.3">
      <c r="B512" s="26" t="s">
        <v>14</v>
      </c>
      <c r="C512" s="27" t="s">
        <v>28</v>
      </c>
      <c r="D512" s="27">
        <v>5</v>
      </c>
      <c r="E512" s="26" t="s">
        <v>340</v>
      </c>
      <c r="F512" s="27" t="s">
        <v>103</v>
      </c>
      <c r="G512" s="30">
        <v>8.2799999999999994</v>
      </c>
      <c r="H512" s="28" t="s">
        <v>62</v>
      </c>
      <c r="I512" s="38">
        <v>490000</v>
      </c>
      <c r="J512" s="26" t="s">
        <v>56</v>
      </c>
      <c r="T512" s="1" t="s">
        <v>6</v>
      </c>
    </row>
    <row r="513" spans="2:21" s="3" customFormat="1" ht="18.75" x14ac:dyDescent="0.3">
      <c r="B513" s="26" t="s">
        <v>14</v>
      </c>
      <c r="C513" s="27" t="s">
        <v>28</v>
      </c>
      <c r="D513" s="27">
        <v>6</v>
      </c>
      <c r="E513" s="26" t="s">
        <v>340</v>
      </c>
      <c r="F513" s="27" t="s">
        <v>190</v>
      </c>
      <c r="G513" s="30">
        <v>3.492</v>
      </c>
      <c r="H513" s="28" t="s">
        <v>62</v>
      </c>
      <c r="I513" s="38">
        <v>490000</v>
      </c>
      <c r="J513" s="26" t="s">
        <v>56</v>
      </c>
    </row>
    <row r="514" spans="2:21" s="75" customFormat="1" ht="18.75" x14ac:dyDescent="0.3">
      <c r="B514" s="63" t="s">
        <v>14</v>
      </c>
      <c r="C514" s="64" t="s">
        <v>28</v>
      </c>
      <c r="D514" s="64">
        <v>6</v>
      </c>
      <c r="E514" s="63" t="s">
        <v>340</v>
      </c>
      <c r="F514" s="64" t="s">
        <v>269</v>
      </c>
      <c r="G514" s="78">
        <v>7.75</v>
      </c>
      <c r="H514" s="73" t="s">
        <v>62</v>
      </c>
      <c r="I514" s="67">
        <v>490000</v>
      </c>
      <c r="J514" s="63" t="s">
        <v>56</v>
      </c>
      <c r="K514" s="2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2:21" ht="18.75" x14ac:dyDescent="0.3">
      <c r="B515" s="26" t="s">
        <v>14</v>
      </c>
      <c r="C515" s="27" t="s">
        <v>28</v>
      </c>
      <c r="D515" s="27">
        <v>8</v>
      </c>
      <c r="E515" s="26" t="s">
        <v>340</v>
      </c>
      <c r="F515" s="27" t="s">
        <v>269</v>
      </c>
      <c r="G515" s="30">
        <v>10.319000000000001</v>
      </c>
      <c r="H515" s="28" t="s">
        <v>62</v>
      </c>
      <c r="I515" s="38">
        <v>490000</v>
      </c>
      <c r="J515" s="26" t="s">
        <v>56</v>
      </c>
    </row>
    <row r="516" spans="2:21" ht="18.75" x14ac:dyDescent="0.3">
      <c r="B516" s="26" t="s">
        <v>14</v>
      </c>
      <c r="C516" s="27" t="s">
        <v>28</v>
      </c>
      <c r="D516" s="27">
        <v>10</v>
      </c>
      <c r="E516" s="26" t="s">
        <v>341</v>
      </c>
      <c r="F516" s="27" t="s">
        <v>269</v>
      </c>
      <c r="G516" s="30">
        <v>1.732</v>
      </c>
      <c r="H516" s="28" t="s">
        <v>204</v>
      </c>
      <c r="I516" s="38">
        <v>490000</v>
      </c>
      <c r="J516" s="26" t="s">
        <v>56</v>
      </c>
    </row>
    <row r="517" spans="2:21" ht="18.75" x14ac:dyDescent="0.3">
      <c r="B517" s="26" t="s">
        <v>14</v>
      </c>
      <c r="C517" s="27" t="s">
        <v>28</v>
      </c>
      <c r="D517" s="27">
        <v>10</v>
      </c>
      <c r="E517" s="26" t="s">
        <v>340</v>
      </c>
      <c r="F517" s="27" t="s">
        <v>269</v>
      </c>
      <c r="G517" s="30">
        <v>3.8610000000000002</v>
      </c>
      <c r="H517" s="28" t="s">
        <v>62</v>
      </c>
      <c r="I517" s="38">
        <v>490000</v>
      </c>
      <c r="J517" s="26" t="s">
        <v>56</v>
      </c>
    </row>
    <row r="518" spans="2:21" s="84" customFormat="1" ht="18.75" x14ac:dyDescent="0.3">
      <c r="B518" s="80" t="s">
        <v>14</v>
      </c>
      <c r="C518" s="81" t="s">
        <v>28</v>
      </c>
      <c r="D518" s="81">
        <v>10</v>
      </c>
      <c r="E518" s="80" t="s">
        <v>340</v>
      </c>
      <c r="F518" s="81" t="s">
        <v>269</v>
      </c>
      <c r="G518" s="82">
        <v>4.2699999999999996</v>
      </c>
      <c r="H518" s="83" t="s">
        <v>62</v>
      </c>
      <c r="I518" s="89">
        <v>490000</v>
      </c>
      <c r="J518" s="63" t="s">
        <v>56</v>
      </c>
      <c r="K518" s="54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2:21" ht="18.75" x14ac:dyDescent="0.3">
      <c r="B519" s="26" t="s">
        <v>14</v>
      </c>
      <c r="C519" s="27" t="s">
        <v>28</v>
      </c>
      <c r="D519" s="27">
        <v>12</v>
      </c>
      <c r="E519" s="26" t="s">
        <v>340</v>
      </c>
      <c r="F519" s="27" t="s">
        <v>269</v>
      </c>
      <c r="G519" s="30">
        <v>3.1909999999999998</v>
      </c>
      <c r="H519" s="28" t="s">
        <v>62</v>
      </c>
      <c r="I519" s="38">
        <v>490000</v>
      </c>
      <c r="J519" s="26" t="s">
        <v>56</v>
      </c>
    </row>
    <row r="520" spans="2:21" s="2" customFormat="1" ht="18.75" x14ac:dyDescent="0.3">
      <c r="B520" s="26" t="s">
        <v>14</v>
      </c>
      <c r="C520" s="27" t="s">
        <v>28</v>
      </c>
      <c r="D520" s="27">
        <v>14</v>
      </c>
      <c r="E520" s="26" t="s">
        <v>340</v>
      </c>
      <c r="F520" s="27" t="s">
        <v>138</v>
      </c>
      <c r="G520" s="30">
        <v>1.5669999999999999</v>
      </c>
      <c r="H520" s="28" t="s">
        <v>62</v>
      </c>
      <c r="I520" s="38">
        <v>490000</v>
      </c>
      <c r="J520" s="26" t="s">
        <v>56</v>
      </c>
    </row>
    <row r="521" spans="2:21" s="2" customFormat="1" ht="18.75" x14ac:dyDescent="0.3">
      <c r="B521" s="26" t="s">
        <v>14</v>
      </c>
      <c r="C521" s="27" t="s">
        <v>28</v>
      </c>
      <c r="D521" s="27">
        <v>16</v>
      </c>
      <c r="E521" s="26" t="s">
        <v>340</v>
      </c>
      <c r="F521" s="27" t="s">
        <v>138</v>
      </c>
      <c r="G521" s="30">
        <v>7.8129999999999997</v>
      </c>
      <c r="H521" s="28" t="s">
        <v>62</v>
      </c>
      <c r="I521" s="38">
        <v>490000</v>
      </c>
      <c r="J521" s="26" t="s">
        <v>56</v>
      </c>
    </row>
    <row r="522" spans="2:21" s="90" customFormat="1" ht="18.75" x14ac:dyDescent="0.3">
      <c r="B522" s="80" t="s">
        <v>14</v>
      </c>
      <c r="C522" s="81" t="s">
        <v>28</v>
      </c>
      <c r="D522" s="81">
        <v>20</v>
      </c>
      <c r="E522" s="80" t="s">
        <v>340</v>
      </c>
      <c r="F522" s="81" t="s">
        <v>269</v>
      </c>
      <c r="G522" s="82">
        <v>19.733000000000001</v>
      </c>
      <c r="H522" s="83" t="s">
        <v>62</v>
      </c>
      <c r="I522" s="89">
        <v>590000</v>
      </c>
      <c r="J522" s="80" t="s">
        <v>56</v>
      </c>
      <c r="K522" s="54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s="2" customFormat="1" ht="18.75" x14ac:dyDescent="0.3">
      <c r="B523" s="26" t="s">
        <v>14</v>
      </c>
      <c r="C523" s="27" t="s">
        <v>28</v>
      </c>
      <c r="D523" s="27">
        <v>25</v>
      </c>
      <c r="E523" s="26" t="s">
        <v>342</v>
      </c>
      <c r="F523" s="27" t="s">
        <v>138</v>
      </c>
      <c r="G523" s="30">
        <v>0.372</v>
      </c>
      <c r="H523" s="28" t="s">
        <v>62</v>
      </c>
      <c r="I523" s="38">
        <v>590000</v>
      </c>
      <c r="J523" s="26" t="s">
        <v>56</v>
      </c>
    </row>
    <row r="524" spans="2:21" s="74" customFormat="1" ht="18.75" x14ac:dyDescent="0.3">
      <c r="B524" s="80" t="s">
        <v>14</v>
      </c>
      <c r="C524" s="81" t="s">
        <v>28</v>
      </c>
      <c r="D524" s="81">
        <v>25</v>
      </c>
      <c r="E524" s="80" t="s">
        <v>342</v>
      </c>
      <c r="F524" s="81" t="s">
        <v>138</v>
      </c>
      <c r="G524" s="82">
        <v>3.145</v>
      </c>
      <c r="H524" s="83" t="s">
        <v>62</v>
      </c>
      <c r="I524" s="89">
        <v>590000</v>
      </c>
      <c r="J524" s="80" t="s">
        <v>56</v>
      </c>
      <c r="K524" s="54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s="2" customFormat="1" ht="18.75" x14ac:dyDescent="0.3">
      <c r="B525" s="26" t="s">
        <v>14</v>
      </c>
      <c r="C525" s="27" t="s">
        <v>28</v>
      </c>
      <c r="D525" s="27">
        <v>30</v>
      </c>
      <c r="E525" s="26" t="s">
        <v>343</v>
      </c>
      <c r="F525" s="27" t="s">
        <v>138</v>
      </c>
      <c r="G525" s="30">
        <v>49.825000000000003</v>
      </c>
      <c r="H525" s="28" t="s">
        <v>62</v>
      </c>
      <c r="I525" s="38">
        <v>590000</v>
      </c>
      <c r="J525" s="26" t="s">
        <v>56</v>
      </c>
    </row>
    <row r="526" spans="2:21" s="2" customFormat="1" ht="18.75" x14ac:dyDescent="0.3">
      <c r="B526" s="26" t="s">
        <v>14</v>
      </c>
      <c r="C526" s="27" t="s">
        <v>28</v>
      </c>
      <c r="D526" s="27">
        <v>40</v>
      </c>
      <c r="E526" s="26" t="s">
        <v>344</v>
      </c>
      <c r="F526" s="27" t="s">
        <v>138</v>
      </c>
      <c r="G526" s="30">
        <v>21.428000000000001</v>
      </c>
      <c r="H526" s="28" t="s">
        <v>62</v>
      </c>
      <c r="I526" s="38">
        <v>590000</v>
      </c>
      <c r="J526" s="26" t="s">
        <v>56</v>
      </c>
    </row>
    <row r="527" spans="2:21" s="44" customFormat="1" ht="18.75" x14ac:dyDescent="0.3">
      <c r="B527" s="26" t="s">
        <v>14</v>
      </c>
      <c r="C527" s="27" t="s">
        <v>28</v>
      </c>
      <c r="D527" s="27">
        <v>45</v>
      </c>
      <c r="E527" s="26" t="s">
        <v>344</v>
      </c>
      <c r="F527" s="27" t="s">
        <v>138</v>
      </c>
      <c r="G527" s="30">
        <v>3.68</v>
      </c>
      <c r="H527" s="28" t="s">
        <v>62</v>
      </c>
      <c r="I527" s="38">
        <v>630000</v>
      </c>
      <c r="J527" s="26" t="s">
        <v>56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s="44" customFormat="1" ht="18.75" x14ac:dyDescent="0.3">
      <c r="B528" s="80" t="s">
        <v>14</v>
      </c>
      <c r="C528" s="81" t="s">
        <v>28</v>
      </c>
      <c r="D528" s="81">
        <v>50</v>
      </c>
      <c r="E528" s="80" t="s">
        <v>345</v>
      </c>
      <c r="F528" s="81" t="s">
        <v>138</v>
      </c>
      <c r="G528" s="82">
        <v>10.68</v>
      </c>
      <c r="H528" s="83" t="s">
        <v>62</v>
      </c>
      <c r="I528" s="89">
        <v>630000</v>
      </c>
      <c r="J528" s="80" t="s">
        <v>56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68" s="44" customFormat="1" ht="18.75" x14ac:dyDescent="0.3">
      <c r="B529" s="26" t="s">
        <v>14</v>
      </c>
      <c r="C529" s="42" t="s">
        <v>28</v>
      </c>
      <c r="D529" s="27">
        <v>55</v>
      </c>
      <c r="E529" s="26" t="s">
        <v>345</v>
      </c>
      <c r="F529" s="27" t="s">
        <v>138</v>
      </c>
      <c r="G529" s="30">
        <v>8.4120000000000008</v>
      </c>
      <c r="H529" s="28" t="s">
        <v>62</v>
      </c>
      <c r="I529" s="38">
        <v>630000</v>
      </c>
      <c r="J529" s="26" t="s">
        <v>56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68" s="44" customFormat="1" ht="18.75" x14ac:dyDescent="0.3">
      <c r="B530" s="26" t="s">
        <v>14</v>
      </c>
      <c r="C530" s="42" t="s">
        <v>28</v>
      </c>
      <c r="D530" s="27">
        <v>75</v>
      </c>
      <c r="E530" s="26" t="s">
        <v>347</v>
      </c>
      <c r="F530" s="27" t="s">
        <v>138</v>
      </c>
      <c r="G530" s="30">
        <v>1.89</v>
      </c>
      <c r="H530" s="28" t="s">
        <v>62</v>
      </c>
      <c r="I530" s="38">
        <v>630000</v>
      </c>
      <c r="J530" s="26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68" s="44" customFormat="1" ht="18.75" x14ac:dyDescent="0.3">
      <c r="B531" s="80" t="s">
        <v>14</v>
      </c>
      <c r="C531" s="91" t="s">
        <v>41</v>
      </c>
      <c r="D531" s="81">
        <v>2</v>
      </c>
      <c r="E531" s="80" t="s">
        <v>337</v>
      </c>
      <c r="F531" s="81" t="s">
        <v>312</v>
      </c>
      <c r="G531" s="82">
        <v>0.73499999999999999</v>
      </c>
      <c r="H531" s="83" t="s">
        <v>84</v>
      </c>
      <c r="I531" s="89">
        <v>2900000</v>
      </c>
      <c r="J531" s="80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68" s="2" customFormat="1" ht="18.75" x14ac:dyDescent="0.3">
      <c r="B532" s="26" t="s">
        <v>14</v>
      </c>
      <c r="C532" s="42" t="s">
        <v>41</v>
      </c>
      <c r="D532" s="27">
        <v>3</v>
      </c>
      <c r="E532" s="26" t="s">
        <v>337</v>
      </c>
      <c r="F532" s="27" t="s">
        <v>312</v>
      </c>
      <c r="G532" s="30">
        <v>0.66600000000000004</v>
      </c>
      <c r="H532" s="28" t="s">
        <v>62</v>
      </c>
      <c r="I532" s="38">
        <v>2600000</v>
      </c>
      <c r="J532" s="26" t="s">
        <v>56</v>
      </c>
      <c r="K532" s="53"/>
    </row>
    <row r="533" spans="2:68" s="2" customFormat="1" ht="18.75" x14ac:dyDescent="0.3">
      <c r="B533" s="26" t="s">
        <v>14</v>
      </c>
      <c r="C533" s="42" t="s">
        <v>41</v>
      </c>
      <c r="D533" s="27">
        <v>20</v>
      </c>
      <c r="E533" s="26" t="s">
        <v>348</v>
      </c>
      <c r="F533" s="27" t="s">
        <v>118</v>
      </c>
      <c r="G533" s="30">
        <v>1.8720000000000001</v>
      </c>
      <c r="H533" s="28" t="s">
        <v>62</v>
      </c>
      <c r="I533" s="38">
        <v>1700000</v>
      </c>
      <c r="J533" s="26" t="s">
        <v>56</v>
      </c>
    </row>
    <row r="534" spans="2:68" s="2" customFormat="1" ht="18.75" x14ac:dyDescent="0.3">
      <c r="B534" s="26" t="s">
        <v>14</v>
      </c>
      <c r="C534" s="42" t="s">
        <v>390</v>
      </c>
      <c r="D534" s="27">
        <v>4</v>
      </c>
      <c r="E534" s="26" t="s">
        <v>391</v>
      </c>
      <c r="F534" s="27"/>
      <c r="G534" s="30">
        <v>12.422000000000001</v>
      </c>
      <c r="H534" s="28" t="s">
        <v>392</v>
      </c>
      <c r="I534" s="38">
        <v>1050000</v>
      </c>
      <c r="J534" s="26" t="s">
        <v>56</v>
      </c>
    </row>
    <row r="535" spans="2:68" s="2" customFormat="1" ht="18.75" x14ac:dyDescent="0.3">
      <c r="B535" s="26" t="s">
        <v>14</v>
      </c>
      <c r="C535" s="42" t="s">
        <v>0</v>
      </c>
      <c r="D535" s="27">
        <v>2</v>
      </c>
      <c r="E535" s="26" t="s">
        <v>337</v>
      </c>
      <c r="F535" s="27" t="s">
        <v>37</v>
      </c>
      <c r="G535" s="30">
        <v>0.78700000000000003</v>
      </c>
      <c r="H535" s="28" t="s">
        <v>62</v>
      </c>
      <c r="I535" s="38">
        <v>690000</v>
      </c>
      <c r="J535" s="26" t="s">
        <v>56</v>
      </c>
    </row>
    <row r="536" spans="2:68" s="2" customFormat="1" ht="18.75" x14ac:dyDescent="0.3">
      <c r="B536" s="26" t="s">
        <v>14</v>
      </c>
      <c r="C536" s="42" t="s">
        <v>0</v>
      </c>
      <c r="D536" s="27">
        <v>2</v>
      </c>
      <c r="E536" s="26" t="s">
        <v>349</v>
      </c>
      <c r="F536" s="27" t="s">
        <v>37</v>
      </c>
      <c r="G536" s="30">
        <v>0.26</v>
      </c>
      <c r="H536" s="28" t="s">
        <v>62</v>
      </c>
      <c r="I536" s="38">
        <v>690000</v>
      </c>
      <c r="J536" s="26" t="s">
        <v>56</v>
      </c>
    </row>
    <row r="537" spans="2:68" s="2" customFormat="1" ht="18.75" x14ac:dyDescent="0.3">
      <c r="B537" s="104" t="s">
        <v>14</v>
      </c>
      <c r="C537" s="105" t="s">
        <v>0</v>
      </c>
      <c r="D537" s="98">
        <v>3</v>
      </c>
      <c r="E537" s="104" t="s">
        <v>337</v>
      </c>
      <c r="F537" s="98" t="s">
        <v>320</v>
      </c>
      <c r="G537" s="82">
        <v>9.4E-2</v>
      </c>
      <c r="H537" s="106" t="s">
        <v>62</v>
      </c>
      <c r="I537" s="96">
        <v>720000</v>
      </c>
      <c r="J537" s="104" t="s">
        <v>56</v>
      </c>
    </row>
    <row r="538" spans="2:68" s="2" customFormat="1" ht="18.75" x14ac:dyDescent="0.3">
      <c r="B538" s="104" t="s">
        <v>14</v>
      </c>
      <c r="C538" s="105" t="s">
        <v>0</v>
      </c>
      <c r="D538" s="98">
        <v>3</v>
      </c>
      <c r="E538" s="104" t="s">
        <v>337</v>
      </c>
      <c r="F538" s="98" t="s">
        <v>323</v>
      </c>
      <c r="G538" s="82">
        <v>3.8650000000000002</v>
      </c>
      <c r="H538" s="106" t="s">
        <v>62</v>
      </c>
      <c r="I538" s="96">
        <v>720000</v>
      </c>
      <c r="J538" s="104" t="s">
        <v>56</v>
      </c>
    </row>
    <row r="539" spans="2:68" s="2" customFormat="1" ht="18.75" x14ac:dyDescent="0.3">
      <c r="B539" s="104" t="s">
        <v>14</v>
      </c>
      <c r="C539" s="105" t="s">
        <v>0</v>
      </c>
      <c r="D539" s="98">
        <v>4</v>
      </c>
      <c r="E539" s="104" t="s">
        <v>337</v>
      </c>
      <c r="F539" s="98" t="s">
        <v>323</v>
      </c>
      <c r="G539" s="82">
        <v>7.1189999999999998</v>
      </c>
      <c r="H539" s="106" t="s">
        <v>62</v>
      </c>
      <c r="I539" s="96">
        <v>720000</v>
      </c>
      <c r="J539" s="104" t="s">
        <v>56</v>
      </c>
    </row>
    <row r="540" spans="2:68" s="2" customFormat="1" ht="18.75" x14ac:dyDescent="0.3">
      <c r="B540" s="104" t="s">
        <v>14</v>
      </c>
      <c r="C540" s="105" t="s">
        <v>0</v>
      </c>
      <c r="D540" s="98">
        <v>4</v>
      </c>
      <c r="E540" s="104" t="s">
        <v>337</v>
      </c>
      <c r="F540" s="98" t="s">
        <v>323</v>
      </c>
      <c r="G540" s="82">
        <v>0.76</v>
      </c>
      <c r="H540" s="106" t="s">
        <v>62</v>
      </c>
      <c r="I540" s="96">
        <v>720000</v>
      </c>
      <c r="J540" s="80" t="s">
        <v>56</v>
      </c>
    </row>
    <row r="541" spans="2:68" s="74" customFormat="1" ht="18.75" x14ac:dyDescent="0.3">
      <c r="B541" s="80" t="s">
        <v>14</v>
      </c>
      <c r="C541" s="91" t="s">
        <v>0</v>
      </c>
      <c r="D541" s="81">
        <v>5</v>
      </c>
      <c r="E541" s="80" t="s">
        <v>340</v>
      </c>
      <c r="F541" s="81" t="s">
        <v>241</v>
      </c>
      <c r="G541" s="82">
        <v>7.7779999999999996</v>
      </c>
      <c r="H541" s="83" t="s">
        <v>62</v>
      </c>
      <c r="I541" s="96">
        <v>690000</v>
      </c>
      <c r="J541" s="80" t="s">
        <v>56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68" s="2" customFormat="1" ht="18.75" x14ac:dyDescent="0.3">
      <c r="B542" s="104" t="s">
        <v>14</v>
      </c>
      <c r="C542" s="105" t="s">
        <v>0</v>
      </c>
      <c r="D542" s="98">
        <v>6</v>
      </c>
      <c r="E542" s="104" t="s">
        <v>340</v>
      </c>
      <c r="F542" s="98" t="s">
        <v>323</v>
      </c>
      <c r="G542" s="82">
        <v>6.3049999999999997</v>
      </c>
      <c r="H542" s="106" t="s">
        <v>62</v>
      </c>
      <c r="I542" s="96">
        <v>720000</v>
      </c>
      <c r="J542" s="80" t="s">
        <v>56</v>
      </c>
    </row>
    <row r="543" spans="2:68" s="2" customFormat="1" ht="18.75" x14ac:dyDescent="0.3">
      <c r="B543" s="26" t="s">
        <v>14</v>
      </c>
      <c r="C543" s="42" t="s">
        <v>0</v>
      </c>
      <c r="D543" s="27">
        <v>8</v>
      </c>
      <c r="E543" s="26" t="s">
        <v>340</v>
      </c>
      <c r="F543" s="24" t="s">
        <v>36</v>
      </c>
      <c r="G543" s="30">
        <v>5.2590000000000003</v>
      </c>
      <c r="H543" s="28" t="s">
        <v>62</v>
      </c>
      <c r="I543" s="38">
        <v>690000</v>
      </c>
      <c r="J543" s="26" t="s">
        <v>56</v>
      </c>
      <c r="K543" s="3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2:68" s="2" customFormat="1" ht="18.75" x14ac:dyDescent="0.3">
      <c r="B544" s="104" t="s">
        <v>14</v>
      </c>
      <c r="C544" s="105" t="s">
        <v>0</v>
      </c>
      <c r="D544" s="98">
        <v>10</v>
      </c>
      <c r="E544" s="104" t="s">
        <v>340</v>
      </c>
      <c r="F544" s="98" t="s">
        <v>323</v>
      </c>
      <c r="G544" s="82">
        <v>7.88</v>
      </c>
      <c r="H544" s="106" t="s">
        <v>62</v>
      </c>
      <c r="I544" s="96">
        <v>720000</v>
      </c>
      <c r="J544" s="80" t="s">
        <v>56</v>
      </c>
    </row>
    <row r="545" spans="2:68" ht="18.75" x14ac:dyDescent="0.3">
      <c r="B545" s="26" t="s">
        <v>14</v>
      </c>
      <c r="C545" s="42" t="s">
        <v>0</v>
      </c>
      <c r="D545" s="27">
        <v>12</v>
      </c>
      <c r="E545" s="26" t="s">
        <v>340</v>
      </c>
      <c r="F545" s="24" t="s">
        <v>36</v>
      </c>
      <c r="G545" s="30">
        <v>2.427</v>
      </c>
      <c r="H545" s="28" t="s">
        <v>62</v>
      </c>
      <c r="I545" s="38">
        <v>690000</v>
      </c>
      <c r="J545" s="26" t="s">
        <v>56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</row>
    <row r="546" spans="2:68" s="2" customFormat="1" ht="18.75" x14ac:dyDescent="0.3">
      <c r="B546" s="26" t="s">
        <v>14</v>
      </c>
      <c r="C546" s="42" t="s">
        <v>0</v>
      </c>
      <c r="D546" s="27">
        <v>14</v>
      </c>
      <c r="E546" s="26" t="s">
        <v>340</v>
      </c>
      <c r="F546" s="24" t="s">
        <v>36</v>
      </c>
      <c r="G546" s="30">
        <v>0.82499999999999996</v>
      </c>
      <c r="H546" s="28" t="s">
        <v>62</v>
      </c>
      <c r="I546" s="38">
        <v>690000</v>
      </c>
      <c r="J546" s="26" t="s">
        <v>56</v>
      </c>
      <c r="L546" s="2" t="s">
        <v>6</v>
      </c>
    </row>
    <row r="547" spans="2:68" s="2" customFormat="1" ht="18.75" x14ac:dyDescent="0.3">
      <c r="B547" s="26" t="s">
        <v>14</v>
      </c>
      <c r="C547" s="42" t="s">
        <v>0</v>
      </c>
      <c r="D547" s="27">
        <v>16</v>
      </c>
      <c r="E547" s="26" t="s">
        <v>340</v>
      </c>
      <c r="F547" s="24" t="s">
        <v>36</v>
      </c>
      <c r="G547" s="30">
        <v>13.638</v>
      </c>
      <c r="H547" s="28" t="s">
        <v>62</v>
      </c>
      <c r="I547" s="38">
        <v>690000</v>
      </c>
      <c r="J547" s="26" t="s">
        <v>56</v>
      </c>
    </row>
    <row r="548" spans="2:68" s="2" customFormat="1" ht="18.75" x14ac:dyDescent="0.3">
      <c r="B548" s="26" t="s">
        <v>14</v>
      </c>
      <c r="C548" s="42" t="s">
        <v>0</v>
      </c>
      <c r="D548" s="27">
        <v>18</v>
      </c>
      <c r="E548" s="26" t="s">
        <v>350</v>
      </c>
      <c r="F548" s="24" t="s">
        <v>36</v>
      </c>
      <c r="G548" s="30">
        <v>1.145</v>
      </c>
      <c r="H548" s="28" t="s">
        <v>62</v>
      </c>
      <c r="I548" s="38">
        <v>690000</v>
      </c>
      <c r="J548" s="26" t="s">
        <v>56</v>
      </c>
    </row>
    <row r="549" spans="2:68" s="2" customFormat="1" ht="18.75" x14ac:dyDescent="0.3">
      <c r="B549" s="26" t="s">
        <v>14</v>
      </c>
      <c r="C549" s="42" t="s">
        <v>0</v>
      </c>
      <c r="D549" s="27">
        <v>20</v>
      </c>
      <c r="E549" s="26" t="s">
        <v>340</v>
      </c>
      <c r="F549" s="27" t="s">
        <v>100</v>
      </c>
      <c r="G549" s="30">
        <v>5.5579999999999998</v>
      </c>
      <c r="H549" s="28" t="s">
        <v>62</v>
      </c>
      <c r="I549" s="38">
        <v>690000</v>
      </c>
      <c r="J549" s="26" t="s">
        <v>56</v>
      </c>
    </row>
    <row r="550" spans="2:68" s="2" customFormat="1" ht="18.75" x14ac:dyDescent="0.3">
      <c r="B550" s="26" t="s">
        <v>14</v>
      </c>
      <c r="C550" s="42" t="s">
        <v>0</v>
      </c>
      <c r="D550" s="27">
        <v>25</v>
      </c>
      <c r="E550" s="117" t="s">
        <v>342</v>
      </c>
      <c r="F550" s="24" t="s">
        <v>36</v>
      </c>
      <c r="G550" s="30">
        <v>1.3819999999999999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104" t="s">
        <v>14</v>
      </c>
      <c r="C551" s="105" t="s">
        <v>0</v>
      </c>
      <c r="D551" s="98">
        <v>30</v>
      </c>
      <c r="E551" s="104" t="s">
        <v>340</v>
      </c>
      <c r="F551" s="98" t="s">
        <v>322</v>
      </c>
      <c r="G551" s="82">
        <v>5.09</v>
      </c>
      <c r="H551" s="106" t="s">
        <v>62</v>
      </c>
      <c r="I551" s="96">
        <v>720000</v>
      </c>
      <c r="J551" s="80" t="s">
        <v>56</v>
      </c>
    </row>
    <row r="552" spans="2:68" s="2" customFormat="1" ht="18.75" x14ac:dyDescent="0.3">
      <c r="B552" s="26" t="s">
        <v>14</v>
      </c>
      <c r="C552" s="42" t="s">
        <v>0</v>
      </c>
      <c r="D552" s="27">
        <v>40</v>
      </c>
      <c r="E552" s="117" t="s">
        <v>351</v>
      </c>
      <c r="F552" s="24" t="s">
        <v>319</v>
      </c>
      <c r="G552" s="30">
        <v>1.4910000000000001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104" t="s">
        <v>14</v>
      </c>
      <c r="C553" s="105" t="s">
        <v>0</v>
      </c>
      <c r="D553" s="98">
        <v>45</v>
      </c>
      <c r="E553" s="104" t="s">
        <v>352</v>
      </c>
      <c r="F553" s="98" t="s">
        <v>322</v>
      </c>
      <c r="G553" s="82">
        <v>1.74</v>
      </c>
      <c r="H553" s="106" t="s">
        <v>62</v>
      </c>
      <c r="I553" s="96">
        <v>720000</v>
      </c>
      <c r="J553" s="80" t="s">
        <v>56</v>
      </c>
    </row>
    <row r="554" spans="2:68" s="2" customFormat="1" ht="18.75" x14ac:dyDescent="0.3">
      <c r="B554" s="104" t="s">
        <v>14</v>
      </c>
      <c r="C554" s="105" t="s">
        <v>0</v>
      </c>
      <c r="D554" s="98">
        <v>60</v>
      </c>
      <c r="E554" s="104" t="s">
        <v>346</v>
      </c>
      <c r="F554" s="98" t="s">
        <v>322</v>
      </c>
      <c r="G554" s="82">
        <v>3.11</v>
      </c>
      <c r="H554" s="106" t="s">
        <v>62</v>
      </c>
      <c r="I554" s="96">
        <v>720000</v>
      </c>
      <c r="J554" s="80" t="s">
        <v>56</v>
      </c>
    </row>
    <row r="555" spans="2:68" s="2" customFormat="1" ht="18.75" x14ac:dyDescent="0.3">
      <c r="B555" s="80" t="s">
        <v>14</v>
      </c>
      <c r="C555" s="91" t="s">
        <v>301</v>
      </c>
      <c r="D555" s="81">
        <v>0.5</v>
      </c>
      <c r="E555" s="118" t="s">
        <v>337</v>
      </c>
      <c r="F555" s="98" t="s">
        <v>300</v>
      </c>
      <c r="G555" s="82">
        <v>0.29499999999999998</v>
      </c>
      <c r="H555" s="83" t="s">
        <v>84</v>
      </c>
      <c r="I555" s="89">
        <v>980000</v>
      </c>
      <c r="J555" s="80" t="s">
        <v>56</v>
      </c>
    </row>
    <row r="556" spans="2:68" s="2" customFormat="1" ht="18.75" x14ac:dyDescent="0.3">
      <c r="B556" s="80" t="s">
        <v>14</v>
      </c>
      <c r="C556" s="91" t="s">
        <v>301</v>
      </c>
      <c r="D556" s="81">
        <v>0.8</v>
      </c>
      <c r="E556" s="118" t="s">
        <v>353</v>
      </c>
      <c r="F556" s="98" t="s">
        <v>300</v>
      </c>
      <c r="G556" s="82">
        <v>0.35299999999999998</v>
      </c>
      <c r="H556" s="83" t="s">
        <v>84</v>
      </c>
      <c r="I556" s="89">
        <v>980000</v>
      </c>
      <c r="J556" s="80" t="s">
        <v>56</v>
      </c>
    </row>
    <row r="557" spans="2:68" s="2" customFormat="1" ht="18.75" x14ac:dyDescent="0.3">
      <c r="B557" s="80" t="s">
        <v>14</v>
      </c>
      <c r="C557" s="91" t="s">
        <v>301</v>
      </c>
      <c r="D557" s="81">
        <v>3</v>
      </c>
      <c r="E557" s="118" t="s">
        <v>337</v>
      </c>
      <c r="F557" s="98" t="s">
        <v>310</v>
      </c>
      <c r="G557" s="82">
        <v>0.20300000000000001</v>
      </c>
      <c r="H557" s="83" t="s">
        <v>84</v>
      </c>
      <c r="I557" s="89">
        <v>800000</v>
      </c>
      <c r="J557" s="80" t="s">
        <v>56</v>
      </c>
    </row>
    <row r="558" spans="2:68" s="2" customFormat="1" ht="18.75" x14ac:dyDescent="0.3">
      <c r="B558" s="80" t="s">
        <v>14</v>
      </c>
      <c r="C558" s="91" t="s">
        <v>302</v>
      </c>
      <c r="D558" s="81">
        <v>4</v>
      </c>
      <c r="E558" s="118" t="s">
        <v>337</v>
      </c>
      <c r="F558" s="98" t="s">
        <v>303</v>
      </c>
      <c r="G558" s="82">
        <v>0.42</v>
      </c>
      <c r="H558" s="83" t="s">
        <v>284</v>
      </c>
      <c r="I558" s="89">
        <v>400000</v>
      </c>
      <c r="J558" s="80" t="s">
        <v>56</v>
      </c>
    </row>
    <row r="559" spans="2:68" s="2" customFormat="1" ht="18.75" x14ac:dyDescent="0.3">
      <c r="B559" s="80" t="s">
        <v>14</v>
      </c>
      <c r="C559" s="91" t="s">
        <v>302</v>
      </c>
      <c r="D559" s="81">
        <v>6</v>
      </c>
      <c r="E559" s="118" t="s">
        <v>337</v>
      </c>
      <c r="F559" s="98" t="s">
        <v>303</v>
      </c>
      <c r="G559" s="82">
        <v>0.13200000000000001</v>
      </c>
      <c r="H559" s="83" t="s">
        <v>284</v>
      </c>
      <c r="I559" s="89">
        <v>390000</v>
      </c>
      <c r="J559" s="80" t="s">
        <v>56</v>
      </c>
    </row>
    <row r="560" spans="2:68" s="2" customFormat="1" ht="18.75" x14ac:dyDescent="0.3">
      <c r="B560" s="80" t="s">
        <v>14</v>
      </c>
      <c r="C560" s="91" t="s">
        <v>302</v>
      </c>
      <c r="D560" s="81">
        <v>8</v>
      </c>
      <c r="E560" s="118" t="s">
        <v>340</v>
      </c>
      <c r="F560" s="98" t="s">
        <v>303</v>
      </c>
      <c r="G560" s="82">
        <v>8.266</v>
      </c>
      <c r="H560" s="83"/>
      <c r="I560" s="89">
        <v>315000</v>
      </c>
      <c r="J560" s="80" t="s">
        <v>56</v>
      </c>
    </row>
    <row r="561" spans="2:13" s="2" customFormat="1" ht="18.75" x14ac:dyDescent="0.3">
      <c r="B561" s="26" t="s">
        <v>14</v>
      </c>
      <c r="C561" s="42" t="s">
        <v>184</v>
      </c>
      <c r="D561" s="27">
        <v>8</v>
      </c>
      <c r="E561" s="117" t="s">
        <v>340</v>
      </c>
      <c r="F561" s="24"/>
      <c r="G561" s="30">
        <v>2.82</v>
      </c>
      <c r="H561" s="28"/>
      <c r="I561" s="38">
        <v>430000</v>
      </c>
      <c r="J561" s="26" t="s">
        <v>56</v>
      </c>
    </row>
    <row r="562" spans="2:13" s="2" customFormat="1" ht="18.75" x14ac:dyDescent="0.3">
      <c r="B562" s="80" t="s">
        <v>14</v>
      </c>
      <c r="C562" s="91" t="s">
        <v>302</v>
      </c>
      <c r="D562" s="81">
        <v>10</v>
      </c>
      <c r="E562" s="118" t="s">
        <v>340</v>
      </c>
      <c r="F562" s="98" t="s">
        <v>304</v>
      </c>
      <c r="G562" s="82">
        <v>5.4</v>
      </c>
      <c r="H562" s="83" t="s">
        <v>195</v>
      </c>
      <c r="I562" s="89">
        <v>360000</v>
      </c>
      <c r="J562" s="80" t="s">
        <v>56</v>
      </c>
    </row>
    <row r="563" spans="2:13" s="2" customFormat="1" ht="18.75" x14ac:dyDescent="0.3">
      <c r="B563" s="80" t="s">
        <v>14</v>
      </c>
      <c r="C563" s="91" t="s">
        <v>302</v>
      </c>
      <c r="D563" s="81">
        <v>10</v>
      </c>
      <c r="E563" s="118" t="s">
        <v>337</v>
      </c>
      <c r="F563" s="98" t="s">
        <v>304</v>
      </c>
      <c r="G563" s="82">
        <v>0.311</v>
      </c>
      <c r="H563" s="83" t="s">
        <v>195</v>
      </c>
      <c r="I563" s="89">
        <v>450000</v>
      </c>
      <c r="J563" s="80" t="s">
        <v>56</v>
      </c>
    </row>
    <row r="564" spans="2:13" s="2" customFormat="1" ht="18.75" x14ac:dyDescent="0.3">
      <c r="B564" s="80" t="s">
        <v>14</v>
      </c>
      <c r="C564" s="91" t="s">
        <v>302</v>
      </c>
      <c r="D564" s="81">
        <v>10</v>
      </c>
      <c r="E564" s="118" t="s">
        <v>340</v>
      </c>
      <c r="F564" s="98" t="s">
        <v>304</v>
      </c>
      <c r="G564" s="82">
        <v>2.1800000000000002</v>
      </c>
      <c r="H564" s="83" t="s">
        <v>284</v>
      </c>
      <c r="I564" s="89">
        <v>450000</v>
      </c>
      <c r="J564" s="80" t="s">
        <v>56</v>
      </c>
    </row>
    <row r="565" spans="2:13" s="2" customFormat="1" ht="18.75" x14ac:dyDescent="0.3">
      <c r="B565" s="26" t="s">
        <v>14</v>
      </c>
      <c r="C565" s="42" t="s">
        <v>184</v>
      </c>
      <c r="D565" s="27">
        <v>12</v>
      </c>
      <c r="E565" s="117" t="s">
        <v>340</v>
      </c>
      <c r="F565" s="24"/>
      <c r="G565" s="30">
        <v>1.696</v>
      </c>
      <c r="H565" s="28"/>
      <c r="I565" s="38">
        <v>430000</v>
      </c>
      <c r="J565" s="26" t="s">
        <v>56</v>
      </c>
      <c r="M565" s="2" t="s">
        <v>6</v>
      </c>
    </row>
    <row r="566" spans="2:13" s="2" customFormat="1" ht="18.75" x14ac:dyDescent="0.3">
      <c r="B566" s="80" t="s">
        <v>14</v>
      </c>
      <c r="C566" s="91" t="s">
        <v>302</v>
      </c>
      <c r="D566" s="81">
        <v>16</v>
      </c>
      <c r="E566" s="118" t="s">
        <v>354</v>
      </c>
      <c r="F566" s="98" t="s">
        <v>305</v>
      </c>
      <c r="G566" s="82">
        <v>0.58199999999999996</v>
      </c>
      <c r="H566" s="83" t="s">
        <v>284</v>
      </c>
      <c r="I566" s="89">
        <v>390000</v>
      </c>
      <c r="J566" s="80" t="s">
        <v>56</v>
      </c>
    </row>
    <row r="567" spans="2:13" s="2" customFormat="1" ht="18.75" x14ac:dyDescent="0.3">
      <c r="B567" s="26" t="s">
        <v>14</v>
      </c>
      <c r="C567" s="42" t="s">
        <v>3</v>
      </c>
      <c r="D567" s="27">
        <v>5</v>
      </c>
      <c r="E567" s="117" t="s">
        <v>340</v>
      </c>
      <c r="F567" s="24" t="s">
        <v>186</v>
      </c>
      <c r="G567" s="30">
        <v>1.8740000000000001</v>
      </c>
      <c r="H567" s="28" t="s">
        <v>195</v>
      </c>
      <c r="I567" s="38">
        <v>260000</v>
      </c>
      <c r="J567" s="26" t="s">
        <v>56</v>
      </c>
    </row>
    <row r="568" spans="2:13" s="2" customFormat="1" ht="18.75" x14ac:dyDescent="0.3">
      <c r="B568" s="26" t="s">
        <v>14</v>
      </c>
      <c r="C568" s="42" t="s">
        <v>3</v>
      </c>
      <c r="D568" s="27">
        <v>8</v>
      </c>
      <c r="E568" s="117" t="s">
        <v>340</v>
      </c>
      <c r="F568" s="24" t="s">
        <v>186</v>
      </c>
      <c r="G568" s="30">
        <v>4.4320000000000004</v>
      </c>
      <c r="H568" s="28" t="s">
        <v>195</v>
      </c>
      <c r="I568" s="38">
        <v>250000</v>
      </c>
      <c r="J568" s="26" t="s">
        <v>56</v>
      </c>
    </row>
    <row r="569" spans="2:13" s="2" customFormat="1" ht="18.75" x14ac:dyDescent="0.3">
      <c r="B569" s="26" t="s">
        <v>14</v>
      </c>
      <c r="C569" s="42" t="s">
        <v>3</v>
      </c>
      <c r="D569" s="27">
        <v>12</v>
      </c>
      <c r="E569" s="117" t="s">
        <v>340</v>
      </c>
      <c r="F569" s="24" t="s">
        <v>186</v>
      </c>
      <c r="G569" s="30">
        <v>2.915</v>
      </c>
      <c r="H569" s="28" t="s">
        <v>195</v>
      </c>
      <c r="I569" s="38">
        <v>250000</v>
      </c>
      <c r="J569" s="26" t="s">
        <v>56</v>
      </c>
    </row>
    <row r="570" spans="2:13" s="2" customFormat="1" ht="18.75" x14ac:dyDescent="0.3">
      <c r="B570" s="26" t="s">
        <v>14</v>
      </c>
      <c r="C570" s="42" t="s">
        <v>3</v>
      </c>
      <c r="D570" s="27">
        <v>16</v>
      </c>
      <c r="E570" s="117" t="s">
        <v>340</v>
      </c>
      <c r="F570" s="24" t="s">
        <v>186</v>
      </c>
      <c r="G570" s="30">
        <v>8.9600000000000009</v>
      </c>
      <c r="H570" s="28" t="s">
        <v>195</v>
      </c>
      <c r="I570" s="38">
        <v>250000</v>
      </c>
      <c r="J570" s="26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20</v>
      </c>
      <c r="E571" s="117"/>
      <c r="F571" s="24" t="s">
        <v>186</v>
      </c>
      <c r="G571" s="30">
        <v>4.22</v>
      </c>
      <c r="H571" s="28" t="s">
        <v>195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30</v>
      </c>
      <c r="E572" s="117" t="s">
        <v>343</v>
      </c>
      <c r="F572" s="24" t="s">
        <v>186</v>
      </c>
      <c r="G572" s="30">
        <v>1.2589999999999999</v>
      </c>
      <c r="H572" s="28" t="s">
        <v>195</v>
      </c>
      <c r="I572" s="38">
        <v>250000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36</v>
      </c>
      <c r="E573" s="117"/>
      <c r="F573" s="24" t="s">
        <v>186</v>
      </c>
      <c r="G573" s="30">
        <v>5.0999999999999996</v>
      </c>
      <c r="H573" s="28" t="s">
        <v>195</v>
      </c>
      <c r="I573" s="38">
        <v>250000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40</v>
      </c>
      <c r="E574" s="117" t="s">
        <v>355</v>
      </c>
      <c r="F574" s="24" t="s">
        <v>187</v>
      </c>
      <c r="G574" s="30">
        <v>3.5430000000000001</v>
      </c>
      <c r="H574" s="28" t="s">
        <v>195</v>
      </c>
      <c r="I574" s="38">
        <v>250000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50</v>
      </c>
      <c r="E575" s="117" t="s">
        <v>356</v>
      </c>
      <c r="F575" s="24" t="s">
        <v>187</v>
      </c>
      <c r="G575" s="30">
        <v>5.75</v>
      </c>
      <c r="H575" s="28" t="s">
        <v>195</v>
      </c>
      <c r="I575" s="38">
        <v>250000</v>
      </c>
      <c r="J575" s="26" t="s">
        <v>56</v>
      </c>
    </row>
    <row r="576" spans="2:13" s="2" customFormat="1" ht="18.75" x14ac:dyDescent="0.3">
      <c r="B576" s="80" t="s">
        <v>14</v>
      </c>
      <c r="C576" s="91" t="s">
        <v>46</v>
      </c>
      <c r="D576" s="81">
        <v>0.8</v>
      </c>
      <c r="E576" s="118" t="s">
        <v>357</v>
      </c>
      <c r="F576" s="98" t="s">
        <v>306</v>
      </c>
      <c r="G576" s="82">
        <v>5.5E-2</v>
      </c>
      <c r="H576" s="83" t="s">
        <v>317</v>
      </c>
      <c r="I576" s="89">
        <v>360000</v>
      </c>
      <c r="J576" s="80" t="s">
        <v>56</v>
      </c>
      <c r="M576" s="113"/>
    </row>
    <row r="577" spans="2:68" s="2" customFormat="1" ht="18.75" x14ac:dyDescent="0.3">
      <c r="B577" s="26" t="s">
        <v>14</v>
      </c>
      <c r="C577" s="42" t="s">
        <v>46</v>
      </c>
      <c r="D577" s="27">
        <v>1.5</v>
      </c>
      <c r="E577" s="26" t="s">
        <v>358</v>
      </c>
      <c r="F577" s="27" t="s">
        <v>96</v>
      </c>
      <c r="G577" s="30">
        <v>0.23499999999999999</v>
      </c>
      <c r="H577" s="28"/>
      <c r="I577" s="38">
        <v>160000</v>
      </c>
      <c r="J577" s="26" t="s">
        <v>56</v>
      </c>
    </row>
    <row r="578" spans="2:68" s="2" customFormat="1" ht="18.75" x14ac:dyDescent="0.3">
      <c r="B578" s="80" t="s">
        <v>14</v>
      </c>
      <c r="C578" s="91" t="s">
        <v>46</v>
      </c>
      <c r="D578" s="81">
        <v>3</v>
      </c>
      <c r="E578" s="118" t="s">
        <v>359</v>
      </c>
      <c r="F578" s="98" t="s">
        <v>306</v>
      </c>
      <c r="G578" s="82">
        <v>0.41799999999999998</v>
      </c>
      <c r="H578" s="83" t="s">
        <v>317</v>
      </c>
      <c r="I578" s="89">
        <v>360000</v>
      </c>
      <c r="J578" s="80" t="s">
        <v>56</v>
      </c>
    </row>
    <row r="579" spans="2:68" s="2" customFormat="1" ht="18.75" x14ac:dyDescent="0.3">
      <c r="B579" s="26" t="s">
        <v>14</v>
      </c>
      <c r="C579" s="42" t="s">
        <v>46</v>
      </c>
      <c r="D579" s="27">
        <v>3</v>
      </c>
      <c r="E579" s="26" t="s">
        <v>349</v>
      </c>
      <c r="F579" s="27" t="s">
        <v>96</v>
      </c>
      <c r="G579" s="30">
        <v>4.9000000000000004</v>
      </c>
      <c r="H579" s="28" t="s">
        <v>204</v>
      </c>
      <c r="I579" s="38">
        <v>385000</v>
      </c>
      <c r="J579" s="26" t="s">
        <v>56</v>
      </c>
    </row>
    <row r="580" spans="2:68" s="2" customFormat="1" ht="18.75" x14ac:dyDescent="0.3">
      <c r="B580" s="80" t="s">
        <v>14</v>
      </c>
      <c r="C580" s="91" t="s">
        <v>46</v>
      </c>
      <c r="D580" s="81">
        <v>4</v>
      </c>
      <c r="E580" s="118" t="s">
        <v>349</v>
      </c>
      <c r="F580" s="98" t="s">
        <v>328</v>
      </c>
      <c r="G580" s="82">
        <v>9.7000000000000003E-2</v>
      </c>
      <c r="H580" s="83" t="s">
        <v>204</v>
      </c>
      <c r="I580" s="89">
        <v>320000</v>
      </c>
      <c r="J580" s="80" t="s">
        <v>56</v>
      </c>
    </row>
    <row r="581" spans="2:68" s="74" customFormat="1" ht="18.75" x14ac:dyDescent="0.3">
      <c r="B581" s="80" t="s">
        <v>14</v>
      </c>
      <c r="C581" s="91" t="s">
        <v>46</v>
      </c>
      <c r="D581" s="81">
        <v>5</v>
      </c>
      <c r="E581" s="80" t="s">
        <v>340</v>
      </c>
      <c r="F581" s="81" t="s">
        <v>240</v>
      </c>
      <c r="G581" s="82">
        <v>6.306</v>
      </c>
      <c r="H581" s="83" t="s">
        <v>195</v>
      </c>
      <c r="I581" s="89">
        <v>180000</v>
      </c>
      <c r="J581" s="80" t="s">
        <v>56</v>
      </c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68" s="74" customFormat="1" ht="18.75" x14ac:dyDescent="0.3">
      <c r="B582" s="80" t="s">
        <v>14</v>
      </c>
      <c r="C582" s="91" t="s">
        <v>46</v>
      </c>
      <c r="D582" s="81">
        <v>5</v>
      </c>
      <c r="E582" s="118" t="s">
        <v>337</v>
      </c>
      <c r="F582" s="98" t="s">
        <v>311</v>
      </c>
      <c r="G582" s="82">
        <v>0.32900000000000001</v>
      </c>
      <c r="H582" s="83" t="s">
        <v>84</v>
      </c>
      <c r="I582" s="89">
        <v>130000</v>
      </c>
      <c r="J582" s="80" t="s">
        <v>56</v>
      </c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68" s="2" customFormat="1" ht="18.75" x14ac:dyDescent="0.3">
      <c r="B583" s="5" t="s">
        <v>14</v>
      </c>
      <c r="C583" s="45" t="s">
        <v>105</v>
      </c>
      <c r="D583" s="17">
        <v>16</v>
      </c>
      <c r="E583" s="5" t="s">
        <v>340</v>
      </c>
      <c r="F583" s="17" t="s">
        <v>106</v>
      </c>
      <c r="G583" s="20">
        <v>1.119</v>
      </c>
      <c r="H583" s="28" t="s">
        <v>62</v>
      </c>
      <c r="I583" s="40">
        <v>1300000</v>
      </c>
      <c r="J583" s="5" t="s">
        <v>56</v>
      </c>
    </row>
    <row r="584" spans="2:68" s="2" customFormat="1" ht="18.75" x14ac:dyDescent="0.3">
      <c r="B584" s="99" t="s">
        <v>14</v>
      </c>
      <c r="C584" s="100" t="s">
        <v>15</v>
      </c>
      <c r="D584" s="101">
        <v>7</v>
      </c>
      <c r="E584" s="80" t="s">
        <v>340</v>
      </c>
      <c r="F584" s="101" t="s">
        <v>378</v>
      </c>
      <c r="G584" s="102">
        <v>3.39</v>
      </c>
      <c r="H584" s="83" t="s">
        <v>318</v>
      </c>
      <c r="I584" s="103">
        <v>210000</v>
      </c>
      <c r="J584" s="80" t="s">
        <v>56</v>
      </c>
    </row>
    <row r="585" spans="2:68" s="2" customFormat="1" ht="18.75" x14ac:dyDescent="0.3">
      <c r="B585" s="99" t="s">
        <v>14</v>
      </c>
      <c r="C585" s="100" t="s">
        <v>7</v>
      </c>
      <c r="D585" s="101">
        <v>1.2</v>
      </c>
      <c r="E585" s="99" t="s">
        <v>360</v>
      </c>
      <c r="F585" s="101" t="s">
        <v>308</v>
      </c>
      <c r="G585" s="102">
        <v>0.35</v>
      </c>
      <c r="H585" s="83" t="s">
        <v>84</v>
      </c>
      <c r="I585" s="103">
        <v>700000</v>
      </c>
      <c r="J585" s="80" t="s">
        <v>56</v>
      </c>
    </row>
    <row r="586" spans="2:68" s="2" customFormat="1" ht="18.75" x14ac:dyDescent="0.3">
      <c r="B586" s="99" t="s">
        <v>14</v>
      </c>
      <c r="C586" s="100" t="s">
        <v>7</v>
      </c>
      <c r="D586" s="101">
        <v>2</v>
      </c>
      <c r="E586" s="99" t="s">
        <v>337</v>
      </c>
      <c r="F586" s="101" t="s">
        <v>307</v>
      </c>
      <c r="G586" s="102">
        <v>0.41899999999999998</v>
      </c>
      <c r="H586" s="83" t="s">
        <v>84</v>
      </c>
      <c r="I586" s="103">
        <v>400000</v>
      </c>
      <c r="J586" s="80" t="s">
        <v>56</v>
      </c>
    </row>
    <row r="587" spans="2:68" s="2" customFormat="1" ht="18.75" x14ac:dyDescent="0.3">
      <c r="B587" s="99" t="s">
        <v>14</v>
      </c>
      <c r="C587" s="100">
        <v>20</v>
      </c>
      <c r="D587" s="101">
        <v>70</v>
      </c>
      <c r="E587" s="99" t="s">
        <v>361</v>
      </c>
      <c r="F587" s="101" t="s">
        <v>309</v>
      </c>
      <c r="G587" s="102">
        <v>0.29899999999999999</v>
      </c>
      <c r="H587" s="83" t="s">
        <v>318</v>
      </c>
      <c r="I587" s="103">
        <v>50000</v>
      </c>
      <c r="J587" s="80" t="s">
        <v>56</v>
      </c>
    </row>
    <row r="588" spans="2:68" s="2" customFormat="1" ht="37.5" x14ac:dyDescent="0.3">
      <c r="B588" s="26" t="s">
        <v>26</v>
      </c>
      <c r="C588" s="43" t="s">
        <v>74</v>
      </c>
      <c r="D588" s="27">
        <v>22</v>
      </c>
      <c r="E588" s="27"/>
      <c r="F588" s="27" t="s">
        <v>76</v>
      </c>
      <c r="G588" s="30">
        <v>0.04</v>
      </c>
      <c r="H588" s="28" t="s">
        <v>63</v>
      </c>
      <c r="I588" s="38">
        <v>1500000</v>
      </c>
      <c r="J588" s="26" t="s">
        <v>56</v>
      </c>
    </row>
    <row r="589" spans="2:68" s="2" customFormat="1" ht="18.75" x14ac:dyDescent="0.3">
      <c r="B589" s="26" t="s">
        <v>26</v>
      </c>
      <c r="C589" s="43" t="s">
        <v>73</v>
      </c>
      <c r="D589" s="27">
        <v>30</v>
      </c>
      <c r="E589" s="27"/>
      <c r="F589" s="27" t="s">
        <v>75</v>
      </c>
      <c r="G589" s="30">
        <v>0.42499999999999999</v>
      </c>
      <c r="H589" s="28" t="s">
        <v>63</v>
      </c>
      <c r="I589" s="38">
        <v>1200000</v>
      </c>
      <c r="J589" s="26" t="s">
        <v>56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</row>
    <row r="590" spans="2:68" ht="18.75" x14ac:dyDescent="0.3">
      <c r="B590" s="26" t="s">
        <v>26</v>
      </c>
      <c r="C590" s="43" t="s">
        <v>89</v>
      </c>
      <c r="D590" s="27">
        <v>10</v>
      </c>
      <c r="E590" s="27"/>
      <c r="F590" s="27" t="s">
        <v>90</v>
      </c>
      <c r="G590" s="30">
        <v>0.11899999999999999</v>
      </c>
      <c r="H590" s="48"/>
      <c r="I590" s="38">
        <v>1500000</v>
      </c>
      <c r="J590" s="26" t="s">
        <v>56</v>
      </c>
      <c r="K590" s="2"/>
    </row>
    <row r="591" spans="2:68" ht="18.75" x14ac:dyDescent="0.3">
      <c r="B591" s="26" t="s">
        <v>26</v>
      </c>
      <c r="C591" s="42" t="s">
        <v>21</v>
      </c>
      <c r="D591" s="27">
        <v>5</v>
      </c>
      <c r="E591" s="27" t="s">
        <v>395</v>
      </c>
      <c r="F591" s="27" t="s">
        <v>177</v>
      </c>
      <c r="G591" s="30">
        <v>7.0999999999999994E-2</v>
      </c>
      <c r="H591" s="31"/>
      <c r="I591" s="38">
        <v>150000</v>
      </c>
      <c r="J591" s="26" t="s">
        <v>56</v>
      </c>
    </row>
    <row r="592" spans="2:68" ht="18.75" x14ac:dyDescent="0.3">
      <c r="B592" s="26" t="s">
        <v>26</v>
      </c>
      <c r="C592" s="27" t="s">
        <v>21</v>
      </c>
      <c r="D592" s="27">
        <v>19</v>
      </c>
      <c r="E592" s="27"/>
      <c r="F592" s="27"/>
      <c r="G592" s="30">
        <v>0.14199999999999999</v>
      </c>
      <c r="H592" s="28" t="s">
        <v>34</v>
      </c>
      <c r="I592" s="38">
        <v>180000</v>
      </c>
      <c r="J592" s="29" t="s">
        <v>56</v>
      </c>
    </row>
    <row r="593" spans="2:10" ht="18.75" x14ac:dyDescent="0.3">
      <c r="B593" s="26" t="s">
        <v>66</v>
      </c>
      <c r="C593" s="42" t="s">
        <v>39</v>
      </c>
      <c r="D593" s="27" t="s">
        <v>67</v>
      </c>
      <c r="E593" s="27"/>
      <c r="F593" s="27"/>
      <c r="G593" s="30">
        <v>80</v>
      </c>
      <c r="H593" s="28"/>
      <c r="I593" s="26" t="s">
        <v>270</v>
      </c>
      <c r="J593" s="26" t="s">
        <v>56</v>
      </c>
    </row>
    <row r="594" spans="2:10" ht="18.75" x14ac:dyDescent="0.3">
      <c r="B594" s="5" t="s">
        <v>20</v>
      </c>
      <c r="C594" s="18" t="s">
        <v>265</v>
      </c>
      <c r="D594" s="18" t="s">
        <v>266</v>
      </c>
      <c r="E594" s="18"/>
      <c r="F594" s="16"/>
      <c r="G594" s="20">
        <v>0.61899999999999999</v>
      </c>
      <c r="H594" s="16"/>
      <c r="I594" s="94">
        <v>150000</v>
      </c>
      <c r="J594" s="21" t="s">
        <v>56</v>
      </c>
    </row>
    <row r="595" spans="2:10" ht="18.75" x14ac:dyDescent="0.3">
      <c r="B595" s="27" t="s">
        <v>9</v>
      </c>
      <c r="C595" s="24" t="s">
        <v>79</v>
      </c>
      <c r="D595" s="24">
        <v>30</v>
      </c>
      <c r="E595" s="24"/>
      <c r="F595" s="25"/>
      <c r="G595" s="30">
        <v>1.4E-2</v>
      </c>
      <c r="H595" s="28" t="s">
        <v>86</v>
      </c>
      <c r="I595" s="39">
        <v>50000</v>
      </c>
      <c r="J595" s="26" t="s">
        <v>56</v>
      </c>
    </row>
    <row r="596" spans="2:10" ht="18.75" x14ac:dyDescent="0.3">
      <c r="B596" s="17" t="s">
        <v>25</v>
      </c>
      <c r="C596" s="17" t="s">
        <v>17</v>
      </c>
      <c r="D596" s="17" t="s">
        <v>42</v>
      </c>
      <c r="E596" s="17"/>
      <c r="F596" s="17" t="s">
        <v>43</v>
      </c>
      <c r="G596" s="20">
        <v>1</v>
      </c>
      <c r="I596" s="40">
        <v>38000</v>
      </c>
      <c r="J596" s="9" t="s">
        <v>56</v>
      </c>
    </row>
    <row r="597" spans="2:10" ht="18.75" x14ac:dyDescent="0.3">
      <c r="B597" s="23" t="s">
        <v>9</v>
      </c>
      <c r="C597" s="23">
        <v>45</v>
      </c>
      <c r="D597" s="23">
        <v>20</v>
      </c>
      <c r="E597" s="23"/>
      <c r="F597" s="5"/>
      <c r="G597" s="20">
        <v>5.6000000000000001E-2</v>
      </c>
      <c r="H597" s="59" t="s">
        <v>63</v>
      </c>
      <c r="I597" s="58">
        <v>80000</v>
      </c>
      <c r="J597" s="9" t="s">
        <v>56</v>
      </c>
    </row>
    <row r="598" spans="2:10" ht="18.75" x14ac:dyDescent="0.3">
      <c r="B598" s="17" t="s">
        <v>9</v>
      </c>
      <c r="C598" s="17" t="s">
        <v>13</v>
      </c>
      <c r="D598" s="17">
        <v>60</v>
      </c>
      <c r="E598" s="17"/>
      <c r="F598" s="5"/>
      <c r="G598" s="20">
        <v>5.1999999999999998E-2</v>
      </c>
      <c r="H598" s="59"/>
      <c r="I598" s="58">
        <v>80000</v>
      </c>
      <c r="J598" s="9" t="s">
        <v>56</v>
      </c>
    </row>
    <row r="599" spans="2:10" ht="18.75" x14ac:dyDescent="0.3">
      <c r="B599" s="17" t="s">
        <v>25</v>
      </c>
      <c r="C599" s="17" t="s">
        <v>15</v>
      </c>
      <c r="D599" s="17" t="s">
        <v>44</v>
      </c>
      <c r="E599" s="17"/>
      <c r="F599" s="17" t="s">
        <v>102</v>
      </c>
      <c r="G599" s="20">
        <v>0.3</v>
      </c>
      <c r="H599" s="22"/>
      <c r="I599" s="40">
        <v>80000</v>
      </c>
      <c r="J599" s="9" t="s">
        <v>56</v>
      </c>
    </row>
    <row r="600" spans="2:10" ht="18.75" x14ac:dyDescent="0.3">
      <c r="B600" s="17" t="s">
        <v>20</v>
      </c>
      <c r="C600" s="17">
        <v>20</v>
      </c>
      <c r="D600" s="17" t="s">
        <v>113</v>
      </c>
      <c r="E600" s="17"/>
      <c r="F600" s="5"/>
      <c r="G600" s="20">
        <v>0.47599999999999998</v>
      </c>
      <c r="H600" s="4"/>
      <c r="I600" s="58">
        <v>95000</v>
      </c>
      <c r="J600" s="9" t="s">
        <v>56</v>
      </c>
    </row>
    <row r="601" spans="2:10" ht="18.75" x14ac:dyDescent="0.3">
      <c r="B601" s="17" t="s">
        <v>20</v>
      </c>
      <c r="C601" s="18" t="s">
        <v>314</v>
      </c>
      <c r="D601" s="18">
        <v>16</v>
      </c>
      <c r="E601" s="18"/>
      <c r="F601" s="18" t="s">
        <v>315</v>
      </c>
      <c r="G601" s="20">
        <v>1.1100000000000001</v>
      </c>
      <c r="H601" s="18" t="s">
        <v>6</v>
      </c>
      <c r="I601" s="40">
        <v>500000</v>
      </c>
      <c r="J601" s="9" t="s">
        <v>56</v>
      </c>
    </row>
    <row r="602" spans="2:10" x14ac:dyDescent="0.25">
      <c r="I602" s="1" t="s">
        <v>6</v>
      </c>
    </row>
    <row r="605" spans="2:10" x14ac:dyDescent="0.25">
      <c r="F605" s="1" t="s">
        <v>6</v>
      </c>
    </row>
    <row r="606" spans="2:10" x14ac:dyDescent="0.25">
      <c r="F606" s="1" t="s">
        <v>6</v>
      </c>
    </row>
    <row r="608" spans="2:10" x14ac:dyDescent="0.25">
      <c r="F608" s="1" t="s">
        <v>6</v>
      </c>
    </row>
    <row r="609" spans="6:10" x14ac:dyDescent="0.25">
      <c r="F609" s="1" t="s">
        <v>6</v>
      </c>
      <c r="J609" s="1" t="s">
        <v>6</v>
      </c>
    </row>
  </sheetData>
  <autoFilter ref="B3:BP602" xr:uid="{00000000-0009-0000-0000-000000000000}">
    <sortState xmlns:xlrd2="http://schemas.microsoft.com/office/spreadsheetml/2017/richdata2" ref="B4:BQ586">
      <sortCondition sortBy="cellColor" ref="C3:C586" dxfId="2"/>
    </sortState>
  </autoFilter>
  <sortState xmlns:xlrd2="http://schemas.microsoft.com/office/spreadsheetml/2017/richdata2" ref="B2:BQ598">
    <sortCondition ref="B8:B588"/>
    <sortCondition ref="C8:C588"/>
    <sortCondition ref="D8:D588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H9" sqref="H9"/>
    </sheetView>
  </sheetViews>
  <sheetFormatPr defaultRowHeight="18.75" x14ac:dyDescent="0.3"/>
  <cols>
    <col min="1" max="1" width="7" customWidth="1"/>
    <col min="3" max="3" width="27.7109375" style="123" customWidth="1"/>
    <col min="4" max="4" width="13" customWidth="1"/>
    <col min="5" max="5" width="8.5703125" customWidth="1"/>
    <col min="6" max="6" width="45.140625" customWidth="1"/>
    <col min="7" max="7" width="15.140625" customWidth="1"/>
    <col min="8" max="8" width="9.28515625" customWidth="1"/>
    <col min="9" max="9" width="25.85546875" customWidth="1"/>
  </cols>
  <sheetData>
    <row r="1" spans="1:10" ht="48.75" customHeight="1" x14ac:dyDescent="0.25">
      <c r="A1" s="138" t="s">
        <v>413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48.75" customHeight="1" x14ac:dyDescent="0.25">
      <c r="A2" s="136" t="s">
        <v>414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s="93" customFormat="1" x14ac:dyDescent="0.3">
      <c r="B3" s="115" t="s">
        <v>288</v>
      </c>
      <c r="C3" s="115" t="s">
        <v>274</v>
      </c>
      <c r="D3" s="115" t="s">
        <v>289</v>
      </c>
      <c r="E3" s="115"/>
      <c r="F3" s="116" t="s">
        <v>31</v>
      </c>
      <c r="G3" s="115" t="s">
        <v>290</v>
      </c>
      <c r="H3" s="115"/>
      <c r="I3" s="115" t="s">
        <v>291</v>
      </c>
    </row>
    <row r="4" spans="1:10" x14ac:dyDescent="0.3">
      <c r="B4" s="124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5" t="str">
        <f ca="1">IFERROR(__xludf.DUMMYFUNCTION("""COMPUTED_VALUE"""),"07Х16Н6-Ш ( ЭП288-Ш)")</f>
        <v>07Х16Н6-Ш ( ЭП288-Ш)</v>
      </c>
      <c r="D4" s="126">
        <f ca="1">IFERROR(__xludf.DUMMYFUNCTION("""COMPUTED_VALUE"""),8)</f>
        <v>8</v>
      </c>
      <c r="E4" s="126"/>
      <c r="F4" s="127" t="str">
        <f ca="1">IFERROR(__xludf.DUMMYFUNCTION("""COMPUTED_VALUE"""),"УЗК,  АТП ту 14-1-1660-76, ГОСТ2590  обточ")</f>
        <v>УЗК,  АТП ту 14-1-1660-76, ГОСТ2590  обточ</v>
      </c>
      <c r="G4" s="128">
        <f ca="1">IFERROR(__xludf.DUMMYFUNCTION("""COMPUTED_VALUE"""),0.334999999999999)</f>
        <v>0.33499999999999902</v>
      </c>
      <c r="H4" s="128"/>
      <c r="I4" s="129">
        <f ca="1">IFERROR(__xludf.DUMMYFUNCTION("""COMPUTED_VALUE"""),2100000)</f>
        <v>2100000</v>
      </c>
    </row>
    <row r="5" spans="1:10" x14ac:dyDescent="0.3">
      <c r="B5" s="130" t="str">
        <f ca="1">IFERROR(__xludf.DUMMYFUNCTION("""COMPUTED_VALUE"""),"круг")</f>
        <v>круг</v>
      </c>
      <c r="C5" s="125" t="str">
        <f ca="1">IFERROR(__xludf.DUMMYFUNCTION("""COMPUTED_VALUE"""),"07Х16Н6-Ш ( ЭП288-Ш)")</f>
        <v>07Х16Н6-Ш ( ЭП288-Ш)</v>
      </c>
      <c r="D5" s="131">
        <f ca="1">IFERROR(__xludf.DUMMYFUNCTION("""COMPUTED_VALUE"""),8)</f>
        <v>8</v>
      </c>
      <c r="E5" s="131"/>
      <c r="F5" s="132" t="str">
        <f ca="1">IFERROR(__xludf.DUMMYFUNCTION("""COMPUTED_VALUE"""),"УЗК,  АТП ту 14-1-1660  обточ")</f>
        <v>УЗК,  АТП ту 14-1-1660  обточ</v>
      </c>
      <c r="G5" s="133">
        <f ca="1">IFERROR(__xludf.DUMMYFUNCTION("""COMPUTED_VALUE"""),0.05)</f>
        <v>0.05</v>
      </c>
      <c r="H5" s="133"/>
      <c r="I5" s="134">
        <f ca="1">IFERROR(__xludf.DUMMYFUNCTION("""COMPUTED_VALUE"""),2100000)</f>
        <v>2100000</v>
      </c>
    </row>
    <row r="6" spans="1:10" x14ac:dyDescent="0.3">
      <c r="B6" s="130" t="str">
        <f ca="1">IFERROR(__xludf.DUMMYFUNCTION("""COMPUTED_VALUE"""),"круг")</f>
        <v>круг</v>
      </c>
      <c r="C6" s="125" t="str">
        <f ca="1">IFERROR(__xludf.DUMMYFUNCTION("""COMPUTED_VALUE"""),"07Х16Н6-Ш ( ЭП288-Ш)")</f>
        <v>07Х16Н6-Ш ( ЭП288-Ш)</v>
      </c>
      <c r="D6" s="131">
        <f ca="1">IFERROR(__xludf.DUMMYFUNCTION("""COMPUTED_VALUE"""),10)</f>
        <v>10</v>
      </c>
      <c r="E6" s="131"/>
      <c r="F6" s="132" t="str">
        <f ca="1">IFERROR(__xludf.DUMMYFUNCTION("""COMPUTED_VALUE"""),"УЗК,  АТП ту 14-1-1660 ")</f>
        <v xml:space="preserve">УЗК,  АТП ту 14-1-1660 </v>
      </c>
      <c r="G6" s="133">
        <f ca="1">IFERROR(__xludf.DUMMYFUNCTION("""COMPUTED_VALUE"""),0.637999999999999)</f>
        <v>0.63799999999999901</v>
      </c>
      <c r="H6" s="133"/>
      <c r="I6" s="134">
        <f ca="1">IFERROR(__xludf.DUMMYFUNCTION("""COMPUTED_VALUE"""),1600000)</f>
        <v>1600000</v>
      </c>
    </row>
    <row r="7" spans="1:10" x14ac:dyDescent="0.3">
      <c r="B7" s="130" t="str">
        <f ca="1">IFERROR(__xludf.DUMMYFUNCTION("""COMPUTED_VALUE"""),"круг")</f>
        <v>круг</v>
      </c>
      <c r="C7" s="125" t="str">
        <f ca="1">IFERROR(__xludf.DUMMYFUNCTION("""COMPUTED_VALUE"""),"07Х16Н6-Ш ( ЭП288-Ш)")</f>
        <v>07Х16Н6-Ш ( ЭП288-Ш)</v>
      </c>
      <c r="D7" s="131">
        <f ca="1">IFERROR(__xludf.DUMMYFUNCTION("""COMPUTED_VALUE"""),10)</f>
        <v>10</v>
      </c>
      <c r="E7" s="131"/>
      <c r="F7" s="132" t="str">
        <f ca="1">IFERROR(__xludf.DUMMYFUNCTION("""COMPUTED_VALUE"""),"УЗК,  АТП ту 14-1-1660 ")</f>
        <v xml:space="preserve">УЗК,  АТП ту 14-1-1660 </v>
      </c>
      <c r="G7" s="133">
        <f ca="1">IFERROR(__xludf.DUMMYFUNCTION("""COMPUTED_VALUE"""),0.11)</f>
        <v>0.11</v>
      </c>
      <c r="H7" s="133"/>
      <c r="I7" s="134">
        <f ca="1">IFERROR(__xludf.DUMMYFUNCTION("""COMPUTED_VALUE"""),1600000)</f>
        <v>1600000</v>
      </c>
    </row>
    <row r="8" spans="1:10" x14ac:dyDescent="0.3">
      <c r="B8" s="130" t="str">
        <f ca="1">IFERROR(__xludf.DUMMYFUNCTION("""COMPUTED_VALUE"""),"круг")</f>
        <v>круг</v>
      </c>
      <c r="C8" s="125" t="str">
        <f ca="1">IFERROR(__xludf.DUMMYFUNCTION("""COMPUTED_VALUE"""),"07Х16Н6-Ш ( ЭП288-Ш)")</f>
        <v>07Х16Н6-Ш ( ЭП288-Ш)</v>
      </c>
      <c r="D8" s="131">
        <f ca="1">IFERROR(__xludf.DUMMYFUNCTION("""COMPUTED_VALUE"""),12)</f>
        <v>12</v>
      </c>
      <c r="E8" s="131"/>
      <c r="F8" s="132" t="str">
        <f ca="1">IFERROR(__xludf.DUMMYFUNCTION("""COMPUTED_VALUE"""),"УЗК,  АТП ту 14-1-1660 ")</f>
        <v xml:space="preserve">УЗК,  АТП ту 14-1-1660 </v>
      </c>
      <c r="G8" s="133">
        <f ca="1">IFERROR(__xludf.DUMMYFUNCTION("""COMPUTED_VALUE"""),0.767)</f>
        <v>0.76700000000000002</v>
      </c>
      <c r="H8" s="133"/>
      <c r="I8" s="134">
        <f ca="1">IFERROR(__xludf.DUMMYFUNCTION("""COMPUTED_VALUE"""),1600000)</f>
        <v>1600000</v>
      </c>
    </row>
    <row r="9" spans="1:10" x14ac:dyDescent="0.3">
      <c r="B9" s="130" t="str">
        <f ca="1">IFERROR(__xludf.DUMMYFUNCTION("""COMPUTED_VALUE"""),"круг")</f>
        <v>круг</v>
      </c>
      <c r="C9" s="125" t="str">
        <f ca="1">IFERROR(__xludf.DUMMYFUNCTION("""COMPUTED_VALUE"""),"07Х16Н6-Ш ( ЭП288-Ш)")</f>
        <v>07Х16Н6-Ш ( ЭП288-Ш)</v>
      </c>
      <c r="D9" s="131">
        <f ca="1">IFERROR(__xludf.DUMMYFUNCTION("""COMPUTED_VALUE"""),15)</f>
        <v>15</v>
      </c>
      <c r="E9" s="131"/>
      <c r="F9" s="132" t="str">
        <f ca="1">IFERROR(__xludf.DUMMYFUNCTION("""COMPUTED_VALUE"""),"УЗК,  АТП ту 14-1-1660 ")</f>
        <v xml:space="preserve">УЗК,  АТП ту 14-1-1660 </v>
      </c>
      <c r="G9" s="133">
        <f ca="1">IFERROR(__xludf.DUMMYFUNCTION("""COMPUTED_VALUE"""),0.518)</f>
        <v>0.51800000000000002</v>
      </c>
      <c r="H9" s="133"/>
      <c r="I9" s="134">
        <f ca="1">IFERROR(__xludf.DUMMYFUNCTION("""COMPUTED_VALUE"""),1250000)</f>
        <v>1250000</v>
      </c>
    </row>
    <row r="10" spans="1:10" x14ac:dyDescent="0.3">
      <c r="B10" s="130" t="str">
        <f ca="1">IFERROR(__xludf.DUMMYFUNCTION("""COMPUTED_VALUE"""),"круг")</f>
        <v>круг</v>
      </c>
      <c r="C10" s="125" t="str">
        <f ca="1">IFERROR(__xludf.DUMMYFUNCTION("""COMPUTED_VALUE"""),"07Х16Н6-Ш ( ЭП288-Ш)")</f>
        <v>07Х16Н6-Ш ( ЭП288-Ш)</v>
      </c>
      <c r="D10" s="131">
        <f ca="1">IFERROR(__xludf.DUMMYFUNCTION("""COMPUTED_VALUE"""),18)</f>
        <v>18</v>
      </c>
      <c r="E10" s="131"/>
      <c r="F10" s="132" t="str">
        <f ca="1">IFERROR(__xludf.DUMMYFUNCTION("""COMPUTED_VALUE"""),"УЗК,  АТП ту 14-1-1660 ")</f>
        <v xml:space="preserve">УЗК,  АТП ту 14-1-1660 </v>
      </c>
      <c r="G10" s="133">
        <f ca="1">IFERROR(__xludf.DUMMYFUNCTION("""COMPUTED_VALUE"""),0.532)</f>
        <v>0.53200000000000003</v>
      </c>
      <c r="H10" s="133"/>
      <c r="I10" s="134">
        <f ca="1">IFERROR(__xludf.DUMMYFUNCTION("""COMPUTED_VALUE"""),1250000)</f>
        <v>1250000</v>
      </c>
    </row>
    <row r="11" spans="1:10" x14ac:dyDescent="0.3">
      <c r="B11" s="130" t="str">
        <f ca="1">IFERROR(__xludf.DUMMYFUNCTION("""COMPUTED_VALUE"""),"круг")</f>
        <v>круг</v>
      </c>
      <c r="C11" s="125" t="str">
        <f ca="1">IFERROR(__xludf.DUMMYFUNCTION("""COMPUTED_VALUE"""),"07Х16Н6-Ш ( ЭП288-Ш)")</f>
        <v>07Х16Н6-Ш ( ЭП288-Ш)</v>
      </c>
      <c r="D11" s="131">
        <f ca="1">IFERROR(__xludf.DUMMYFUNCTION("""COMPUTED_VALUE"""),18)</f>
        <v>18</v>
      </c>
      <c r="E11" s="131"/>
      <c r="F11" s="132" t="str">
        <f ca="1">IFERROR(__xludf.DUMMYFUNCTION("""COMPUTED_VALUE"""),"УЗК,  АТП ту 14-1-1660 ")</f>
        <v xml:space="preserve">УЗК,  АТП ту 14-1-1660 </v>
      </c>
      <c r="G11" s="133">
        <f ca="1">IFERROR(__xludf.DUMMYFUNCTION("""COMPUTED_VALUE"""),0.64)</f>
        <v>0.64</v>
      </c>
      <c r="H11" s="133"/>
      <c r="I11" s="134">
        <f ca="1">IFERROR(__xludf.DUMMYFUNCTION("""COMPUTED_VALUE"""),1250000)</f>
        <v>1250000</v>
      </c>
    </row>
    <row r="12" spans="1:10" x14ac:dyDescent="0.3">
      <c r="B12" s="130" t="str">
        <f ca="1">IFERROR(__xludf.DUMMYFUNCTION("""COMPUTED_VALUE"""),"круг")</f>
        <v>круг</v>
      </c>
      <c r="C12" s="125" t="str">
        <f ca="1">IFERROR(__xludf.DUMMYFUNCTION("""COMPUTED_VALUE"""),"07Х16Н6-Ш ( ЭП288-Ш)")</f>
        <v>07Х16Н6-Ш ( ЭП288-Ш)</v>
      </c>
      <c r="D12" s="131">
        <f ca="1">IFERROR(__xludf.DUMMYFUNCTION("""COMPUTED_VALUE"""),20)</f>
        <v>20</v>
      </c>
      <c r="E12" s="131"/>
      <c r="F12" s="132" t="str">
        <f ca="1">IFERROR(__xludf.DUMMYFUNCTION("""COMPUTED_VALUE"""),"УЗК,  АТП ту 14-1-1660 ")</f>
        <v xml:space="preserve">УЗК,  АТП ту 14-1-1660 </v>
      </c>
      <c r="G12" s="133">
        <f ca="1">IFERROR(__xludf.DUMMYFUNCTION("""COMPUTED_VALUE"""),0.471)</f>
        <v>0.47099999999999997</v>
      </c>
      <c r="H12" s="133"/>
      <c r="I12" s="134">
        <f ca="1">IFERROR(__xludf.DUMMYFUNCTION("""COMPUTED_VALUE"""),1250000)</f>
        <v>1250000</v>
      </c>
    </row>
    <row r="13" spans="1:10" x14ac:dyDescent="0.3">
      <c r="B13" s="130" t="str">
        <f ca="1">IFERROR(__xludf.DUMMYFUNCTION("""COMPUTED_VALUE"""),"круг")</f>
        <v>круг</v>
      </c>
      <c r="C13" s="125" t="str">
        <f ca="1">IFERROR(__xludf.DUMMYFUNCTION("""COMPUTED_VALUE"""),"07Х16Н6-Ш ( ЭП288-Ш)")</f>
        <v>07Х16Н6-Ш ( ЭП288-Ш)</v>
      </c>
      <c r="D13" s="131">
        <f ca="1">IFERROR(__xludf.DUMMYFUNCTION("""COMPUTED_VALUE"""),20)</f>
        <v>20</v>
      </c>
      <c r="E13" s="131"/>
      <c r="F13" s="132" t="str">
        <f ca="1">IFERROR(__xludf.DUMMYFUNCTION("""COMPUTED_VALUE"""),"УЗК,  АТП ту 14-1-1660 ")</f>
        <v xml:space="preserve">УЗК,  АТП ту 14-1-1660 </v>
      </c>
      <c r="G13" s="133">
        <f ca="1">IFERROR(__xludf.DUMMYFUNCTION("""COMPUTED_VALUE"""),0.61)</f>
        <v>0.61</v>
      </c>
      <c r="H13" s="133"/>
      <c r="I13" s="134">
        <f ca="1">IFERROR(__xludf.DUMMYFUNCTION("""COMPUTED_VALUE"""),1250000)</f>
        <v>1250000</v>
      </c>
    </row>
    <row r="14" spans="1:10" x14ac:dyDescent="0.3">
      <c r="B14" s="130" t="str">
        <f ca="1">IFERROR(__xludf.DUMMYFUNCTION("""COMPUTED_VALUE"""),"круг")</f>
        <v>круг</v>
      </c>
      <c r="C14" s="125" t="str">
        <f ca="1">IFERROR(__xludf.DUMMYFUNCTION("""COMPUTED_VALUE"""),"07Х16Н6-Ш ( ЭП288-Ш)")</f>
        <v>07Х16Н6-Ш ( ЭП288-Ш)</v>
      </c>
      <c r="D14" s="131">
        <f ca="1">IFERROR(__xludf.DUMMYFUNCTION("""COMPUTED_VALUE"""),25)</f>
        <v>25</v>
      </c>
      <c r="E14" s="131"/>
      <c r="F14" s="132" t="str">
        <f ca="1">IFERROR(__xludf.DUMMYFUNCTION("""COMPUTED_VALUE"""),"УЗК, обточ АТП ту 14-1-1660 2гп")</f>
        <v>УЗК, обточ АТП ту 14-1-1660 2гп</v>
      </c>
      <c r="G14" s="133">
        <f ca="1">IFERROR(__xludf.DUMMYFUNCTION("""COMPUTED_VALUE"""),0.174)</f>
        <v>0.17399999999999999</v>
      </c>
      <c r="H14" s="133"/>
      <c r="I14" s="134">
        <f ca="1">IFERROR(__xludf.DUMMYFUNCTION("""COMPUTED_VALUE"""),1250000)</f>
        <v>1250000</v>
      </c>
    </row>
    <row r="15" spans="1:10" x14ac:dyDescent="0.3">
      <c r="B15" s="130" t="str">
        <f ca="1">IFERROR(__xludf.DUMMYFUNCTION("""COMPUTED_VALUE"""),"круг")</f>
        <v>круг</v>
      </c>
      <c r="C15" s="125" t="str">
        <f ca="1">IFERROR(__xludf.DUMMYFUNCTION("""COMPUTED_VALUE"""),"07Х16Н6-Ш ( ЭП288-Ш)")</f>
        <v>07Х16Н6-Ш ( ЭП288-Ш)</v>
      </c>
      <c r="D15" s="131">
        <f ca="1">IFERROR(__xludf.DUMMYFUNCTION("""COMPUTED_VALUE"""),30)</f>
        <v>30</v>
      </c>
      <c r="E15" s="131"/>
      <c r="F15" s="132" t="str">
        <f ca="1">IFERROR(__xludf.DUMMYFUNCTION("""COMPUTED_VALUE"""),"УЗК, обточ АТП ту 14-1-1660 ")</f>
        <v xml:space="preserve">УЗК, обточ АТП ту 14-1-1660 </v>
      </c>
      <c r="G15" s="133">
        <f ca="1">IFERROR(__xludf.DUMMYFUNCTION("""COMPUTED_VALUE"""),0.152)</f>
        <v>0.152</v>
      </c>
      <c r="H15" s="133"/>
      <c r="I15" s="134">
        <f ca="1">IFERROR(__xludf.DUMMYFUNCTION("""COMPUTED_VALUE"""),1100000)</f>
        <v>1100000</v>
      </c>
    </row>
    <row r="16" spans="1:10" x14ac:dyDescent="0.3">
      <c r="B16" s="130" t="str">
        <f ca="1">IFERROR(__xludf.DUMMYFUNCTION("""COMPUTED_VALUE"""),"круг")</f>
        <v>круг</v>
      </c>
      <c r="C16" s="125" t="str">
        <f ca="1">IFERROR(__xludf.DUMMYFUNCTION("""COMPUTED_VALUE"""),"07Х16Н6-Ш ( ЭП288-Ш)")</f>
        <v>07Х16Н6-Ш ( ЭП288-Ш)</v>
      </c>
      <c r="D16" s="131">
        <f ca="1">IFERROR(__xludf.DUMMYFUNCTION("""COMPUTED_VALUE"""),30)</f>
        <v>30</v>
      </c>
      <c r="E16" s="131"/>
      <c r="F16" s="132" t="str">
        <f ca="1">IFERROR(__xludf.DUMMYFUNCTION("""COMPUTED_VALUE"""),"УЗК,  АТП ту 14-1-1660 ")</f>
        <v xml:space="preserve">УЗК,  АТП ту 14-1-1660 </v>
      </c>
      <c r="G16" s="133">
        <f ca="1">IFERROR(__xludf.DUMMYFUNCTION("""COMPUTED_VALUE"""),0.2)</f>
        <v>0.2</v>
      </c>
      <c r="H16" s="133"/>
      <c r="I16" s="134">
        <f ca="1">IFERROR(__xludf.DUMMYFUNCTION("""COMPUTED_VALUE"""),1250000)</f>
        <v>1250000</v>
      </c>
    </row>
    <row r="17" spans="2:9" x14ac:dyDescent="0.3">
      <c r="B17" s="130" t="str">
        <f ca="1">IFERROR(__xludf.DUMMYFUNCTION("""COMPUTED_VALUE"""),"круг")</f>
        <v>круг</v>
      </c>
      <c r="C17" s="125" t="str">
        <f ca="1">IFERROR(__xludf.DUMMYFUNCTION("""COMPUTED_VALUE"""),"07Х16Н6-Ш ( ЭП288-Ш)")</f>
        <v>07Х16Н6-Ш ( ЭП288-Ш)</v>
      </c>
      <c r="D17" s="131">
        <f ca="1">IFERROR(__xludf.DUMMYFUNCTION("""COMPUTED_VALUE"""),30)</f>
        <v>30</v>
      </c>
      <c r="E17" s="131"/>
      <c r="F17" s="132" t="str">
        <f ca="1">IFERROR(__xludf.DUMMYFUNCTION("""COMPUTED_VALUE"""),"УЗК,  АТП ту 14-1-1660 ")</f>
        <v xml:space="preserve">УЗК,  АТП ту 14-1-1660 </v>
      </c>
      <c r="G17" s="133">
        <f ca="1">IFERROR(__xludf.DUMMYFUNCTION("""COMPUTED_VALUE"""),0.55)</f>
        <v>0.55000000000000004</v>
      </c>
      <c r="H17" s="133"/>
      <c r="I17" s="134">
        <f ca="1">IFERROR(__xludf.DUMMYFUNCTION("""COMPUTED_VALUE"""),1250000)</f>
        <v>1250000</v>
      </c>
    </row>
    <row r="18" spans="2:9" x14ac:dyDescent="0.3">
      <c r="B18" s="130" t="str">
        <f ca="1">IFERROR(__xludf.DUMMYFUNCTION("""COMPUTED_VALUE"""),"круг")</f>
        <v>круг</v>
      </c>
      <c r="C18" s="125" t="str">
        <f ca="1">IFERROR(__xludf.DUMMYFUNCTION("""COMPUTED_VALUE"""),"07Х16Н6-Ш ( ЭП288-Ш)")</f>
        <v>07Х16Н6-Ш ( ЭП288-Ш)</v>
      </c>
      <c r="D18" s="131">
        <f ca="1">IFERROR(__xludf.DUMMYFUNCTION("""COMPUTED_VALUE"""),30)</f>
        <v>30</v>
      </c>
      <c r="E18" s="131"/>
      <c r="F18" s="132" t="str">
        <f ca="1">IFERROR(__xludf.DUMMYFUNCTION("""COMPUTED_VALUE"""),"УЗК,  АТП ту 14-1-1660 ")</f>
        <v xml:space="preserve">УЗК,  АТП ту 14-1-1660 </v>
      </c>
      <c r="G18" s="133">
        <f ca="1">IFERROR(__xludf.DUMMYFUNCTION("""COMPUTED_VALUE"""),0.55)</f>
        <v>0.55000000000000004</v>
      </c>
      <c r="H18" s="133"/>
      <c r="I18" s="134">
        <f ca="1">IFERROR(__xludf.DUMMYFUNCTION("""COMPUTED_VALUE"""),1250000)</f>
        <v>1250000</v>
      </c>
    </row>
    <row r="19" spans="2:9" x14ac:dyDescent="0.3">
      <c r="B19" s="130" t="str">
        <f ca="1">IFERROR(__xludf.DUMMYFUNCTION("""COMPUTED_VALUE"""),"круг")</f>
        <v>круг</v>
      </c>
      <c r="C19" s="125" t="str">
        <f ca="1">IFERROR(__xludf.DUMMYFUNCTION("""COMPUTED_VALUE"""),"07Х16Н6-Ш ( ЭП288-Ш)")</f>
        <v>07Х16Н6-Ш ( ЭП288-Ш)</v>
      </c>
      <c r="D19" s="131">
        <f ca="1">IFERROR(__xludf.DUMMYFUNCTION("""COMPUTED_VALUE"""),36)</f>
        <v>36</v>
      </c>
      <c r="E19" s="131"/>
      <c r="F19" s="132" t="str">
        <f ca="1">IFERROR(__xludf.DUMMYFUNCTION("""COMPUTED_VALUE"""),"УЗК, обточ АТП ту 14-1-1660 2гп")</f>
        <v>УЗК, обточ АТП ту 14-1-1660 2гп</v>
      </c>
      <c r="G19" s="133">
        <f ca="1">IFERROR(__xludf.DUMMYFUNCTION("""COMPUTED_VALUE"""),0.532999999999999)</f>
        <v>0.53299999999999903</v>
      </c>
      <c r="H19" s="133"/>
      <c r="I19" s="134">
        <f ca="1">IFERROR(__xludf.DUMMYFUNCTION("""COMPUTED_VALUE"""),1100000)</f>
        <v>1100000</v>
      </c>
    </row>
    <row r="20" spans="2:9" x14ac:dyDescent="0.3">
      <c r="B20" s="130" t="str">
        <f ca="1">IFERROR(__xludf.DUMMYFUNCTION("""COMPUTED_VALUE"""),"круг")</f>
        <v>круг</v>
      </c>
      <c r="C20" s="125" t="str">
        <f ca="1">IFERROR(__xludf.DUMMYFUNCTION("""COMPUTED_VALUE"""),"07Х16Н6-Ш ( ЭП288-Ш)")</f>
        <v>07Х16Н6-Ш ( ЭП288-Ш)</v>
      </c>
      <c r="D20" s="131">
        <f ca="1">IFERROR(__xludf.DUMMYFUNCTION("""COMPUTED_VALUE"""),40)</f>
        <v>40</v>
      </c>
      <c r="E20" s="131"/>
      <c r="F20" s="132" t="str">
        <f ca="1">IFERROR(__xludf.DUMMYFUNCTION("""COMPUTED_VALUE"""),"УЗК, обточ АТП ту 14-1-1660 ")</f>
        <v xml:space="preserve">УЗК, обточ АТП ту 14-1-1660 </v>
      </c>
      <c r="G20" s="133">
        <f ca="1">IFERROR(__xludf.DUMMYFUNCTION("""COMPUTED_VALUE"""),0.418999999999999)</f>
        <v>0.41899999999999898</v>
      </c>
      <c r="H20" s="133"/>
      <c r="I20" s="134">
        <f ca="1">IFERROR(__xludf.DUMMYFUNCTION("""COMPUTED_VALUE"""),1100000)</f>
        <v>1100000</v>
      </c>
    </row>
    <row r="21" spans="2:9" x14ac:dyDescent="0.3">
      <c r="B21" s="130" t="str">
        <f ca="1">IFERROR(__xludf.DUMMYFUNCTION("""COMPUTED_VALUE"""),"круг")</f>
        <v>круг</v>
      </c>
      <c r="C21" s="125" t="str">
        <f ca="1">IFERROR(__xludf.DUMMYFUNCTION("""COMPUTED_VALUE"""),"07Х16Н6-Ш ( ЭП288-Ш)")</f>
        <v>07Х16Н6-Ш ( ЭП288-Ш)</v>
      </c>
      <c r="D21" s="131">
        <f ca="1">IFERROR(__xludf.DUMMYFUNCTION("""COMPUTED_VALUE"""),40)</f>
        <v>40</v>
      </c>
      <c r="E21" s="131"/>
      <c r="F21" s="132" t="str">
        <f ca="1">IFERROR(__xludf.DUMMYFUNCTION("""COMPUTED_VALUE"""),"УЗК,  АТП ту 14-1-1660 ")</f>
        <v xml:space="preserve">УЗК,  АТП ту 14-1-1660 </v>
      </c>
      <c r="G21" s="133">
        <f ca="1">IFERROR(__xludf.DUMMYFUNCTION("""COMPUTED_VALUE"""),0.37)</f>
        <v>0.37</v>
      </c>
      <c r="H21" s="133"/>
      <c r="I21" s="134">
        <f ca="1">IFERROR(__xludf.DUMMYFUNCTION("""COMPUTED_VALUE"""),1250000)</f>
        <v>1250000</v>
      </c>
    </row>
    <row r="22" spans="2:9" x14ac:dyDescent="0.3">
      <c r="B22" s="130" t="str">
        <f ca="1">IFERROR(__xludf.DUMMYFUNCTION("""COMPUTED_VALUE"""),"круг")</f>
        <v>круг</v>
      </c>
      <c r="C22" s="125" t="str">
        <f ca="1">IFERROR(__xludf.DUMMYFUNCTION("""COMPUTED_VALUE"""),"07Х16Н6-Ш ( ЭП288-Ш)")</f>
        <v>07Х16Н6-Ш ( ЭП288-Ш)</v>
      </c>
      <c r="D22" s="131">
        <f ca="1">IFERROR(__xludf.DUMMYFUNCTION("""COMPUTED_VALUE"""),40)</f>
        <v>40</v>
      </c>
      <c r="E22" s="131"/>
      <c r="F22" s="132" t="str">
        <f ca="1">IFERROR(__xludf.DUMMYFUNCTION("""COMPUTED_VALUE"""),"УЗК,  АТП ту 14-1-1660 ")</f>
        <v xml:space="preserve">УЗК,  АТП ту 14-1-1660 </v>
      </c>
      <c r="G22" s="133">
        <f ca="1">IFERROR(__xludf.DUMMYFUNCTION("""COMPUTED_VALUE"""),0.37)</f>
        <v>0.37</v>
      </c>
      <c r="H22" s="133"/>
      <c r="I22" s="134">
        <f ca="1">IFERROR(__xludf.DUMMYFUNCTION("""COMPUTED_VALUE"""),1250000)</f>
        <v>1250000</v>
      </c>
    </row>
    <row r="23" spans="2:9" x14ac:dyDescent="0.3">
      <c r="B23" s="130" t="str">
        <f ca="1">IFERROR(__xludf.DUMMYFUNCTION("""COMPUTED_VALUE"""),"круг")</f>
        <v>круг</v>
      </c>
      <c r="C23" s="125" t="str">
        <f ca="1">IFERROR(__xludf.DUMMYFUNCTION("""COMPUTED_VALUE"""),"07Х16Н6-Ш ( ЭП288-Ш)")</f>
        <v>07Х16Н6-Ш ( ЭП288-Ш)</v>
      </c>
      <c r="D23" s="131">
        <f ca="1">IFERROR(__xludf.DUMMYFUNCTION("""COMPUTED_VALUE"""),40)</f>
        <v>40</v>
      </c>
      <c r="E23" s="131"/>
      <c r="F23" s="132" t="str">
        <f ca="1">IFERROR(__xludf.DUMMYFUNCTION("""COMPUTED_VALUE"""),"УЗК,  АТП ту 14-1-1660 ")</f>
        <v xml:space="preserve">УЗК,  АТП ту 14-1-1660 </v>
      </c>
      <c r="G23" s="133">
        <f ca="1">IFERROR(__xludf.DUMMYFUNCTION("""COMPUTED_VALUE"""),0.459999999999999)</f>
        <v>0.45999999999999902</v>
      </c>
      <c r="H23" s="133"/>
      <c r="I23" s="134">
        <f ca="1">IFERROR(__xludf.DUMMYFUNCTION("""COMPUTED_VALUE"""),1250000)</f>
        <v>1250000</v>
      </c>
    </row>
    <row r="24" spans="2:9" x14ac:dyDescent="0.3">
      <c r="B24" s="130" t="str">
        <f ca="1">IFERROR(__xludf.DUMMYFUNCTION("""COMPUTED_VALUE"""),"круг")</f>
        <v>круг</v>
      </c>
      <c r="C24" s="125" t="str">
        <f ca="1">IFERROR(__xludf.DUMMYFUNCTION("""COMPUTED_VALUE"""),"07Х16Н6-Ш ( ЭП288-Ш)")</f>
        <v>07Х16Н6-Ш ( ЭП288-Ш)</v>
      </c>
      <c r="D24" s="131">
        <f ca="1">IFERROR(__xludf.DUMMYFUNCTION("""COMPUTED_VALUE"""),45)</f>
        <v>45</v>
      </c>
      <c r="E24" s="131"/>
      <c r="F24" s="132" t="str">
        <f ca="1">IFERROR(__xludf.DUMMYFUNCTION("""COMPUTED_VALUE"""),"УЗК, обточ АТП ту 14-1-1660 ")</f>
        <v xml:space="preserve">УЗК, обточ АТП ту 14-1-1660 </v>
      </c>
      <c r="G24" s="133">
        <f ca="1">IFERROR(__xludf.DUMMYFUNCTION("""COMPUTED_VALUE"""),2.638)</f>
        <v>2.6379999999999999</v>
      </c>
      <c r="H24" s="133"/>
      <c r="I24" s="134">
        <f ca="1">IFERROR(__xludf.DUMMYFUNCTION("""COMPUTED_VALUE"""),1100000)</f>
        <v>1100000</v>
      </c>
    </row>
    <row r="25" spans="2:9" x14ac:dyDescent="0.3">
      <c r="B25" s="130" t="str">
        <f ca="1">IFERROR(__xludf.DUMMYFUNCTION("""COMPUTED_VALUE"""),"круг")</f>
        <v>круг</v>
      </c>
      <c r="C25" s="125" t="str">
        <f ca="1">IFERROR(__xludf.DUMMYFUNCTION("""COMPUTED_VALUE"""),"07Х16Н6-Ш ( ЭП288-Ш)")</f>
        <v>07Х16Н6-Ш ( ЭП288-Ш)</v>
      </c>
      <c r="D25" s="131">
        <f ca="1">IFERROR(__xludf.DUMMYFUNCTION("""COMPUTED_VALUE"""),45)</f>
        <v>45</v>
      </c>
      <c r="E25" s="131"/>
      <c r="F25" s="132" t="str">
        <f ca="1">IFERROR(__xludf.DUMMYFUNCTION("""COMPUTED_VALUE"""),"УЗК, обточ АТП ту 14-1-1660 ")</f>
        <v xml:space="preserve">УЗК, обточ АТП ту 14-1-1660 </v>
      </c>
      <c r="G25" s="133">
        <f ca="1">IFERROR(__xludf.DUMMYFUNCTION("""COMPUTED_VALUE"""),0.246)</f>
        <v>0.246</v>
      </c>
      <c r="H25" s="133"/>
      <c r="I25" s="134">
        <f ca="1">IFERROR(__xludf.DUMMYFUNCTION("""COMPUTED_VALUE"""),1100000)</f>
        <v>1100000</v>
      </c>
    </row>
    <row r="26" spans="2:9" x14ac:dyDescent="0.3">
      <c r="B26" s="130" t="str">
        <f ca="1">IFERROR(__xludf.DUMMYFUNCTION("""COMPUTED_VALUE"""),"круг")</f>
        <v>круг</v>
      </c>
      <c r="C26" s="125" t="str">
        <f ca="1">IFERROR(__xludf.DUMMYFUNCTION("""COMPUTED_VALUE"""),"07Х16Н6-Ш ( ЭП288-Ш)")</f>
        <v>07Х16Н6-Ш ( ЭП288-Ш)</v>
      </c>
      <c r="D26" s="131">
        <f ca="1">IFERROR(__xludf.DUMMYFUNCTION("""COMPUTED_VALUE"""),50)</f>
        <v>50</v>
      </c>
      <c r="E26" s="131"/>
      <c r="F26" s="132" t="str">
        <f ca="1">IFERROR(__xludf.DUMMYFUNCTION("""COMPUTED_VALUE"""),"УЗК, обточ АТП ту 14-1-1660 2гп")</f>
        <v>УЗК, обточ АТП ту 14-1-1660 2гп</v>
      </c>
      <c r="G26" s="133">
        <f ca="1">IFERROR(__xludf.DUMMYFUNCTION("""COMPUTED_VALUE"""),0.112999999999999)</f>
        <v>0.112999999999999</v>
      </c>
      <c r="H26" s="133"/>
      <c r="I26" s="134">
        <f ca="1">IFERROR(__xludf.DUMMYFUNCTION("""COMPUTED_VALUE"""),1100000)</f>
        <v>1100000</v>
      </c>
    </row>
    <row r="27" spans="2:9" x14ac:dyDescent="0.3">
      <c r="B27" s="130" t="str">
        <f ca="1">IFERROR(__xludf.DUMMYFUNCTION("""COMPUTED_VALUE"""),"круг")</f>
        <v>круг</v>
      </c>
      <c r="C27" s="125" t="str">
        <f ca="1">IFERROR(__xludf.DUMMYFUNCTION("""COMPUTED_VALUE"""),"07Х16Н6-Ш ( ЭП288-Ш)")</f>
        <v>07Х16Н6-Ш ( ЭП288-Ш)</v>
      </c>
      <c r="D27" s="131">
        <f ca="1">IFERROR(__xludf.DUMMYFUNCTION("""COMPUTED_VALUE"""),50)</f>
        <v>50</v>
      </c>
      <c r="E27" s="131"/>
      <c r="F27" s="132" t="str">
        <f ca="1">IFERROR(__xludf.DUMMYFUNCTION("""COMPUTED_VALUE"""),"УЗК, обточ АТП ту 14-1-1660 2гп")</f>
        <v>УЗК, обточ АТП ту 14-1-1660 2гп</v>
      </c>
      <c r="G27" s="133">
        <f ca="1">IFERROR(__xludf.DUMMYFUNCTION("""COMPUTED_VALUE"""),1.108)</f>
        <v>1.1080000000000001</v>
      </c>
      <c r="H27" s="133"/>
      <c r="I27" s="134">
        <f ca="1">IFERROR(__xludf.DUMMYFUNCTION("""COMPUTED_VALUE"""),1100000)</f>
        <v>1100000</v>
      </c>
    </row>
    <row r="28" spans="2:9" x14ac:dyDescent="0.3">
      <c r="B28" s="130" t="str">
        <f ca="1">IFERROR(__xludf.DUMMYFUNCTION("""COMPUTED_VALUE"""),"круг")</f>
        <v>круг</v>
      </c>
      <c r="C28" s="125" t="str">
        <f ca="1">IFERROR(__xludf.DUMMYFUNCTION("""COMPUTED_VALUE"""),"07Х16Н6-Ш ( ЭП288-Ш)")</f>
        <v>07Х16Н6-Ш ( ЭП288-Ш)</v>
      </c>
      <c r="D28" s="131">
        <f ca="1">IFERROR(__xludf.DUMMYFUNCTION("""COMPUTED_VALUE"""),56)</f>
        <v>56</v>
      </c>
      <c r="E28" s="131"/>
      <c r="F28" s="132" t="str">
        <f ca="1">IFERROR(__xludf.DUMMYFUNCTION("""COMPUTED_VALUE"""),"УЗК, обточ АТП ту 14-1-1660 ")</f>
        <v xml:space="preserve">УЗК, обточ АТП ту 14-1-1660 </v>
      </c>
      <c r="G28" s="133">
        <f ca="1">IFERROR(__xludf.DUMMYFUNCTION("""COMPUTED_VALUE"""),2.653)</f>
        <v>2.653</v>
      </c>
      <c r="H28" s="133"/>
      <c r="I28" s="134">
        <f ca="1">IFERROR(__xludf.DUMMYFUNCTION("""COMPUTED_VALUE"""),1100000)</f>
        <v>1100000</v>
      </c>
    </row>
    <row r="29" spans="2:9" x14ac:dyDescent="0.3">
      <c r="B29" s="130" t="str">
        <f ca="1">IFERROR(__xludf.DUMMYFUNCTION("""COMPUTED_VALUE"""),"круг")</f>
        <v>круг</v>
      </c>
      <c r="C29" s="125" t="str">
        <f ca="1">IFERROR(__xludf.DUMMYFUNCTION("""COMPUTED_VALUE"""),"07Х16Н6-Ш ( ЭП288-Ш)")</f>
        <v>07Х16Н6-Ш ( ЭП288-Ш)</v>
      </c>
      <c r="D29" s="131">
        <f ca="1">IFERROR(__xludf.DUMMYFUNCTION("""COMPUTED_VALUE"""),56)</f>
        <v>56</v>
      </c>
      <c r="E29" s="131"/>
      <c r="F29" s="132" t="str">
        <f ca="1">IFERROR(__xludf.DUMMYFUNCTION("""COMPUTED_VALUE"""),"УЗК, обточ АТП ту 14-1-1660 2гп")</f>
        <v>УЗК, обточ АТП ту 14-1-1660 2гп</v>
      </c>
      <c r="G29" s="133">
        <f ca="1">IFERROR(__xludf.DUMMYFUNCTION("""COMPUTED_VALUE"""),0.82)</f>
        <v>0.82</v>
      </c>
      <c r="H29" s="133"/>
      <c r="I29" s="134">
        <f ca="1">IFERROR(__xludf.DUMMYFUNCTION("""COMPUTED_VALUE"""),1100000)</f>
        <v>1100000</v>
      </c>
    </row>
    <row r="30" spans="2:9" x14ac:dyDescent="0.3">
      <c r="B30" s="130" t="str">
        <f ca="1">IFERROR(__xludf.DUMMYFUNCTION("""COMPUTED_VALUE"""),"круг")</f>
        <v>круг</v>
      </c>
      <c r="C30" s="125" t="str">
        <f ca="1">IFERROR(__xludf.DUMMYFUNCTION("""COMPUTED_VALUE"""),"07Х16Н6-Ш ( ЭП288-Ш)")</f>
        <v>07Х16Н6-Ш ( ЭП288-Ш)</v>
      </c>
      <c r="D30" s="131">
        <f ca="1">IFERROR(__xludf.DUMMYFUNCTION("""COMPUTED_VALUE"""),56)</f>
        <v>56</v>
      </c>
      <c r="E30" s="131"/>
      <c r="F30" s="132" t="str">
        <f ca="1">IFERROR(__xludf.DUMMYFUNCTION("""COMPUTED_VALUE"""),"УЗК, обточ АТП ту 14-1-1660 2гп")</f>
        <v>УЗК, обточ АТП ту 14-1-1660 2гп</v>
      </c>
      <c r="G30" s="133">
        <f ca="1">IFERROR(__xludf.DUMMYFUNCTION("""COMPUTED_VALUE"""),2.575)</f>
        <v>2.5750000000000002</v>
      </c>
      <c r="H30" s="133"/>
      <c r="I30" s="134">
        <f ca="1">IFERROR(__xludf.DUMMYFUNCTION("""COMPUTED_VALUE"""),1100000)</f>
        <v>1100000</v>
      </c>
    </row>
    <row r="31" spans="2:9" x14ac:dyDescent="0.3">
      <c r="B31" s="130" t="str">
        <f ca="1">IFERROR(__xludf.DUMMYFUNCTION("""COMPUTED_VALUE"""),"круг")</f>
        <v>круг</v>
      </c>
      <c r="C31" s="125" t="str">
        <f ca="1">IFERROR(__xludf.DUMMYFUNCTION("""COMPUTED_VALUE"""),"07Х16Н6-Ш ( ЭП288-Ш)")</f>
        <v>07Х16Н6-Ш ( ЭП288-Ш)</v>
      </c>
      <c r="D31" s="131">
        <f ca="1">IFERROR(__xludf.DUMMYFUNCTION("""COMPUTED_VALUE"""),56)</f>
        <v>56</v>
      </c>
      <c r="E31" s="131"/>
      <c r="F31" s="132" t="str">
        <f ca="1">IFERROR(__xludf.DUMMYFUNCTION("""COMPUTED_VALUE"""),"УЗК, обточ АТП ту 14-1-1660 ")</f>
        <v xml:space="preserve">УЗК, обточ АТП ту 14-1-1660 </v>
      </c>
      <c r="G31" s="133">
        <f ca="1">IFERROR(__xludf.DUMMYFUNCTION("""COMPUTED_VALUE"""),0.2)</f>
        <v>0.2</v>
      </c>
      <c r="H31" s="133"/>
      <c r="I31" s="134">
        <f ca="1">IFERROR(__xludf.DUMMYFUNCTION("""COMPUTED_VALUE"""),1100000)</f>
        <v>1100000</v>
      </c>
    </row>
    <row r="32" spans="2:9" x14ac:dyDescent="0.3">
      <c r="B32" s="130" t="str">
        <f ca="1">IFERROR(__xludf.DUMMYFUNCTION("""COMPUTED_VALUE"""),"круг")</f>
        <v>круг</v>
      </c>
      <c r="C32" s="125" t="str">
        <f ca="1">IFERROR(__xludf.DUMMYFUNCTION("""COMPUTED_VALUE"""),"07Х16Н6-Ш ( ЭП288-Ш)")</f>
        <v>07Х16Н6-Ш ( ЭП288-Ш)</v>
      </c>
      <c r="D32" s="131">
        <f ca="1">IFERROR(__xludf.DUMMYFUNCTION("""COMPUTED_VALUE"""),60)</f>
        <v>60</v>
      </c>
      <c r="E32" s="131"/>
      <c r="F32" s="132" t="str">
        <f ca="1">IFERROR(__xludf.DUMMYFUNCTION("""COMPUTED_VALUE"""),"УЗК, обточ АТП ту 14-1-1660 2гп")</f>
        <v>УЗК, обточ АТП ту 14-1-1660 2гп</v>
      </c>
      <c r="G32" s="133">
        <f ca="1">IFERROR(__xludf.DUMMYFUNCTION("""COMPUTED_VALUE"""),0.036)</f>
        <v>3.5999999999999997E-2</v>
      </c>
      <c r="H32" s="133"/>
      <c r="I32" s="134">
        <f ca="1">IFERROR(__xludf.DUMMYFUNCTION("""COMPUTED_VALUE"""),1100000)</f>
        <v>1100000</v>
      </c>
    </row>
    <row r="33" spans="2:9" x14ac:dyDescent="0.3">
      <c r="B33" s="130" t="str">
        <f ca="1">IFERROR(__xludf.DUMMYFUNCTION("""COMPUTED_VALUE"""),"круг")</f>
        <v>круг</v>
      </c>
      <c r="C33" s="125" t="str">
        <f ca="1">IFERROR(__xludf.DUMMYFUNCTION("""COMPUTED_VALUE"""),"07Х16Н6-Ш ( ЭП288-Ш)")</f>
        <v>07Х16Н6-Ш ( ЭП288-Ш)</v>
      </c>
      <c r="D33" s="131">
        <f ca="1">IFERROR(__xludf.DUMMYFUNCTION("""COMPUTED_VALUE"""),60)</f>
        <v>60</v>
      </c>
      <c r="E33" s="131"/>
      <c r="F33" s="132" t="str">
        <f ca="1">IFERROR(__xludf.DUMMYFUNCTION("""COMPUTED_VALUE"""),"УЗК, обточ АТП ту 14-1-1660 ")</f>
        <v xml:space="preserve">УЗК, обточ АТП ту 14-1-1660 </v>
      </c>
      <c r="G33" s="133">
        <f ca="1">IFERROR(__xludf.DUMMYFUNCTION("""COMPUTED_VALUE"""),0.024)</f>
        <v>2.4E-2</v>
      </c>
      <c r="H33" s="133"/>
      <c r="I33" s="134">
        <f ca="1">IFERROR(__xludf.DUMMYFUNCTION("""COMPUTED_VALUE"""),1100000)</f>
        <v>1100000</v>
      </c>
    </row>
    <row r="34" spans="2:9" x14ac:dyDescent="0.3">
      <c r="B34" s="130" t="str">
        <f ca="1">IFERROR(__xludf.DUMMYFUNCTION("""COMPUTED_VALUE"""),"круг")</f>
        <v>круг</v>
      </c>
      <c r="C34" s="125" t="str">
        <f ca="1">IFERROR(__xludf.DUMMYFUNCTION("""COMPUTED_VALUE"""),"07Х16Н6-Ш ( ЭП288-Ш)")</f>
        <v>07Х16Н6-Ш ( ЭП288-Ш)</v>
      </c>
      <c r="D34" s="131">
        <f ca="1">IFERROR(__xludf.DUMMYFUNCTION("""COMPUTED_VALUE"""),60)</f>
        <v>60</v>
      </c>
      <c r="E34" s="131"/>
      <c r="F34" s="132" t="str">
        <f ca="1">IFERROR(__xludf.DUMMYFUNCTION("""COMPUTED_VALUE"""),"УЗК,  АТП ту 14-1-1660 ")</f>
        <v xml:space="preserve">УЗК,  АТП ту 14-1-1660 </v>
      </c>
      <c r="G34" s="133">
        <f ca="1">IFERROR(__xludf.DUMMYFUNCTION("""COMPUTED_VALUE"""),0.8)</f>
        <v>0.8</v>
      </c>
      <c r="H34" s="133"/>
      <c r="I34" s="134">
        <f ca="1">IFERROR(__xludf.DUMMYFUNCTION("""COMPUTED_VALUE"""),1250000)</f>
        <v>1250000</v>
      </c>
    </row>
    <row r="35" spans="2:9" x14ac:dyDescent="0.3">
      <c r="B35" s="130" t="str">
        <f ca="1">IFERROR(__xludf.DUMMYFUNCTION("""COMPUTED_VALUE"""),"круг")</f>
        <v>круг</v>
      </c>
      <c r="C35" s="125" t="str">
        <f ca="1">IFERROR(__xludf.DUMMYFUNCTION("""COMPUTED_VALUE"""),"07Х16Н6-Ш ( ЭП288-Ш)")</f>
        <v>07Х16Н6-Ш ( ЭП288-Ш)</v>
      </c>
      <c r="D35" s="131">
        <f ca="1">IFERROR(__xludf.DUMMYFUNCTION("""COMPUTED_VALUE"""),60)</f>
        <v>60</v>
      </c>
      <c r="E35" s="131"/>
      <c r="F35" s="132" t="str">
        <f ca="1">IFERROR(__xludf.DUMMYFUNCTION("""COMPUTED_VALUE"""),"УЗК,  АТП ту 14-1-1660 ")</f>
        <v xml:space="preserve">УЗК,  АТП ту 14-1-1660 </v>
      </c>
      <c r="G35" s="133">
        <f ca="1">IFERROR(__xludf.DUMMYFUNCTION("""COMPUTED_VALUE"""),0.8)</f>
        <v>0.8</v>
      </c>
      <c r="H35" s="133"/>
      <c r="I35" s="134">
        <f ca="1">IFERROR(__xludf.DUMMYFUNCTION("""COMPUTED_VALUE"""),1250000)</f>
        <v>1250000</v>
      </c>
    </row>
    <row r="36" spans="2:9" x14ac:dyDescent="0.3">
      <c r="B36" s="130" t="str">
        <f ca="1">IFERROR(__xludf.DUMMYFUNCTION("""COMPUTED_VALUE"""),"круг")</f>
        <v>круг</v>
      </c>
      <c r="C36" s="125" t="str">
        <f ca="1">IFERROR(__xludf.DUMMYFUNCTION("""COMPUTED_VALUE"""),"07Х16Н6-Ш ( ЭП288-Ш)")</f>
        <v>07Х16Н6-Ш ( ЭП288-Ш)</v>
      </c>
      <c r="D36" s="131">
        <f ca="1">IFERROR(__xludf.DUMMYFUNCTION("""COMPUTED_VALUE"""),70)</f>
        <v>70</v>
      </c>
      <c r="E36" s="131"/>
      <c r="F36" s="132" t="str">
        <f ca="1">IFERROR(__xludf.DUMMYFUNCTION("""COMPUTED_VALUE"""),"УЗК, обточ АТП ту 14-1-1660 2гп")</f>
        <v>УЗК, обточ АТП ту 14-1-1660 2гп</v>
      </c>
      <c r="G36" s="133">
        <f ca="1">IFERROR(__xludf.DUMMYFUNCTION("""COMPUTED_VALUE"""),0.488999999999999)</f>
        <v>0.48899999999999899</v>
      </c>
      <c r="H36" s="133"/>
      <c r="I36" s="134">
        <f ca="1">IFERROR(__xludf.DUMMYFUNCTION("""COMPUTED_VALUE"""),1100000)</f>
        <v>1100000</v>
      </c>
    </row>
    <row r="37" spans="2:9" x14ac:dyDescent="0.3">
      <c r="B37" s="130" t="str">
        <f ca="1">IFERROR(__xludf.DUMMYFUNCTION("""COMPUTED_VALUE"""),"круг")</f>
        <v>круг</v>
      </c>
      <c r="C37" s="125" t="str">
        <f ca="1">IFERROR(__xludf.DUMMYFUNCTION("""COMPUTED_VALUE"""),"07Х16Н6-Ш ( ЭП288-Ш)")</f>
        <v>07Х16Н6-Ш ( ЭП288-Ш)</v>
      </c>
      <c r="D37" s="131">
        <f ca="1">IFERROR(__xludf.DUMMYFUNCTION("""COMPUTED_VALUE"""),70)</f>
        <v>70</v>
      </c>
      <c r="E37" s="131"/>
      <c r="F37" s="132" t="str">
        <f ca="1">IFERROR(__xludf.DUMMYFUNCTION("""COMPUTED_VALUE"""),"УЗК, обточ АТП ту 14-1-1660 2гп")</f>
        <v>УЗК, обточ АТП ту 14-1-1660 2гп</v>
      </c>
      <c r="G37" s="133">
        <f ca="1">IFERROR(__xludf.DUMMYFUNCTION("""COMPUTED_VALUE"""),0.255)</f>
        <v>0.255</v>
      </c>
      <c r="H37" s="133"/>
      <c r="I37" s="134">
        <f ca="1">IFERROR(__xludf.DUMMYFUNCTION("""COMPUTED_VALUE"""),1100000)</f>
        <v>1100000</v>
      </c>
    </row>
    <row r="38" spans="2:9" x14ac:dyDescent="0.3">
      <c r="B38" s="130" t="str">
        <f ca="1">IFERROR(__xludf.DUMMYFUNCTION("""COMPUTED_VALUE"""),"круг")</f>
        <v>круг</v>
      </c>
      <c r="C38" s="125" t="str">
        <f ca="1">IFERROR(__xludf.DUMMYFUNCTION("""COMPUTED_VALUE"""),"07Х16Н6-Ш ( ЭП288-Ш)")</f>
        <v>07Х16Н6-Ш ( ЭП288-Ш)</v>
      </c>
      <c r="D38" s="131">
        <f ca="1">IFERROR(__xludf.DUMMYFUNCTION("""COMPUTED_VALUE"""),70)</f>
        <v>70</v>
      </c>
      <c r="E38" s="131"/>
      <c r="F38" s="132" t="str">
        <f ca="1">IFERROR(__xludf.DUMMYFUNCTION("""COMPUTED_VALUE"""),"УЗК, обточ АТП ту 14-1-1660 2гп")</f>
        <v>УЗК, обточ АТП ту 14-1-1660 2гп</v>
      </c>
      <c r="G38" s="133">
        <f ca="1">IFERROR(__xludf.DUMMYFUNCTION("""COMPUTED_VALUE"""),0.615)</f>
        <v>0.61499999999999999</v>
      </c>
      <c r="H38" s="133"/>
      <c r="I38" s="134">
        <f ca="1">IFERROR(__xludf.DUMMYFUNCTION("""COMPUTED_VALUE"""),1100000)</f>
        <v>1100000</v>
      </c>
    </row>
    <row r="39" spans="2:9" x14ac:dyDescent="0.3">
      <c r="B39" s="130" t="str">
        <f ca="1">IFERROR(__xludf.DUMMYFUNCTION("""COMPUTED_VALUE"""),"круг")</f>
        <v>круг</v>
      </c>
      <c r="C39" s="125" t="str">
        <f ca="1">IFERROR(__xludf.DUMMYFUNCTION("""COMPUTED_VALUE"""),"07Х16Н6-Ш ( ЭП288-Ш)")</f>
        <v>07Х16Н6-Ш ( ЭП288-Ш)</v>
      </c>
      <c r="D39" s="131">
        <f ca="1">IFERROR(__xludf.DUMMYFUNCTION("""COMPUTED_VALUE"""),73)</f>
        <v>73</v>
      </c>
      <c r="E39" s="131"/>
      <c r="F39" s="132" t="str">
        <f ca="1">IFERROR(__xludf.DUMMYFUNCTION("""COMPUTED_VALUE"""),"УЗК, АТП ту 14-1-1660 ")</f>
        <v xml:space="preserve">УЗК, АТП ту 14-1-1660 </v>
      </c>
      <c r="G39" s="133">
        <f ca="1">IFERROR(__xludf.DUMMYFUNCTION("""COMPUTED_VALUE"""),0.348)</f>
        <v>0.34799999999999998</v>
      </c>
      <c r="H39" s="133"/>
      <c r="I39" s="134">
        <f ca="1">IFERROR(__xludf.DUMMYFUNCTION("""COMPUTED_VALUE"""),980000)</f>
        <v>980000</v>
      </c>
    </row>
    <row r="40" spans="2:9" x14ac:dyDescent="0.3">
      <c r="B40" s="130" t="str">
        <f ca="1">IFERROR(__xludf.DUMMYFUNCTION("""COMPUTED_VALUE"""),"круг")</f>
        <v>круг</v>
      </c>
      <c r="C40" s="125" t="str">
        <f ca="1">IFERROR(__xludf.DUMMYFUNCTION("""COMPUTED_VALUE"""),"07Х16Н6-Ш ( ЭП288-Ш)")</f>
        <v>07Х16Н6-Ш ( ЭП288-Ш)</v>
      </c>
      <c r="D40" s="131">
        <f ca="1">IFERROR(__xludf.DUMMYFUNCTION("""COMPUTED_VALUE"""),80)</f>
        <v>80</v>
      </c>
      <c r="E40" s="131"/>
      <c r="F40" s="132" t="str">
        <f ca="1">IFERROR(__xludf.DUMMYFUNCTION("""COMPUTED_VALUE"""),"УЗК, обточ АТП ту 14-1-1660 2гп")</f>
        <v>УЗК, обточ АТП ту 14-1-1660 2гп</v>
      </c>
      <c r="G40" s="133">
        <f ca="1">IFERROR(__xludf.DUMMYFUNCTION("""COMPUTED_VALUE"""),0.0730000000000001)</f>
        <v>7.3000000000000106E-2</v>
      </c>
      <c r="H40" s="133"/>
      <c r="I40" s="134">
        <f ca="1">IFERROR(__xludf.DUMMYFUNCTION("""COMPUTED_VALUE"""),1100000)</f>
        <v>1100000</v>
      </c>
    </row>
    <row r="41" spans="2:9" x14ac:dyDescent="0.3">
      <c r="B41" s="130" t="str">
        <f ca="1">IFERROR(__xludf.DUMMYFUNCTION("""COMPUTED_VALUE"""),"круг")</f>
        <v>круг</v>
      </c>
      <c r="C41" s="125" t="str">
        <f ca="1">IFERROR(__xludf.DUMMYFUNCTION("""COMPUTED_VALUE"""),"07Х16Н6-Ш ( ЭП288-Ш)")</f>
        <v>07Х16Н6-Ш ( ЭП288-Ш)</v>
      </c>
      <c r="D41" s="131">
        <f ca="1">IFERROR(__xludf.DUMMYFUNCTION("""COMPUTED_VALUE"""),80)</f>
        <v>80</v>
      </c>
      <c r="E41" s="131"/>
      <c r="F41" s="132" t="str">
        <f ca="1">IFERROR(__xludf.DUMMYFUNCTION("""COMPUTED_VALUE"""),"УЗК, обточ АТП ту 14-1-1660 2гп")</f>
        <v>УЗК, обточ АТП ту 14-1-1660 2гп</v>
      </c>
      <c r="G41" s="133">
        <f ca="1">IFERROR(__xludf.DUMMYFUNCTION("""COMPUTED_VALUE"""),0.192)</f>
        <v>0.192</v>
      </c>
      <c r="H41" s="133"/>
      <c r="I41" s="134">
        <f ca="1">IFERROR(__xludf.DUMMYFUNCTION("""COMPUTED_VALUE"""),1100000)</f>
        <v>1100000</v>
      </c>
    </row>
    <row r="42" spans="2:9" x14ac:dyDescent="0.3">
      <c r="B42" s="130" t="str">
        <f ca="1">IFERROR(__xludf.DUMMYFUNCTION("""COMPUTED_VALUE"""),"круг")</f>
        <v>круг</v>
      </c>
      <c r="C42" s="125" t="str">
        <f ca="1">IFERROR(__xludf.DUMMYFUNCTION("""COMPUTED_VALUE"""),"07Х16Н6-Ш ( ЭП288-Ш)")</f>
        <v>07Х16Н6-Ш ( ЭП288-Ш)</v>
      </c>
      <c r="D42" s="131">
        <f ca="1">IFERROR(__xludf.DUMMYFUNCTION("""COMPUTED_VALUE"""),80)</f>
        <v>80</v>
      </c>
      <c r="E42" s="131"/>
      <c r="F42" s="132" t="str">
        <f ca="1">IFERROR(__xludf.DUMMYFUNCTION("""COMPUTED_VALUE"""),"УЗК, обточ АТП ту 14-1-1660 2гп")</f>
        <v>УЗК, обточ АТП ту 14-1-1660 2гп</v>
      </c>
      <c r="G42" s="133">
        <f ca="1">IFERROR(__xludf.DUMMYFUNCTION("""COMPUTED_VALUE"""),0.315)</f>
        <v>0.315</v>
      </c>
      <c r="H42" s="133"/>
      <c r="I42" s="134">
        <f ca="1">IFERROR(__xludf.DUMMYFUNCTION("""COMPUTED_VALUE"""),1100000)</f>
        <v>1100000</v>
      </c>
    </row>
    <row r="43" spans="2:9" x14ac:dyDescent="0.3">
      <c r="B43" s="130" t="str">
        <f ca="1">IFERROR(__xludf.DUMMYFUNCTION("""COMPUTED_VALUE"""),"круг")</f>
        <v>круг</v>
      </c>
      <c r="C43" s="125" t="str">
        <f ca="1">IFERROR(__xludf.DUMMYFUNCTION("""COMPUTED_VALUE"""),"07Х16Н6-Ш ( ЭП288-Ш)")</f>
        <v>07Х16Н6-Ш ( ЭП288-Ш)</v>
      </c>
      <c r="D43" s="131">
        <f ca="1">IFERROR(__xludf.DUMMYFUNCTION("""COMPUTED_VALUE"""),90)</f>
        <v>90</v>
      </c>
      <c r="E43" s="131"/>
      <c r="F43" s="132" t="str">
        <f ca="1">IFERROR(__xludf.DUMMYFUNCTION("""COMPUTED_VALUE"""),"УЗК, обточ АТП ту 14-1-1660 ")</f>
        <v xml:space="preserve">УЗК, обточ АТП ту 14-1-1660 </v>
      </c>
      <c r="G43" s="133">
        <f ca="1">IFERROR(__xludf.DUMMYFUNCTION("""COMPUTED_VALUE"""),2.964)</f>
        <v>2.964</v>
      </c>
      <c r="H43" s="133"/>
      <c r="I43" s="134">
        <f ca="1">IFERROR(__xludf.DUMMYFUNCTION("""COMPUTED_VALUE"""),1100000)</f>
        <v>1100000</v>
      </c>
    </row>
    <row r="44" spans="2:9" x14ac:dyDescent="0.3">
      <c r="B44" s="130" t="str">
        <f ca="1">IFERROR(__xludf.DUMMYFUNCTION("""COMPUTED_VALUE"""),"круг")</f>
        <v>круг</v>
      </c>
      <c r="C44" s="125" t="str">
        <f ca="1">IFERROR(__xludf.DUMMYFUNCTION("""COMPUTED_VALUE"""),"07Х16Н6-Ш ( ЭП288-Ш)")</f>
        <v>07Х16Н6-Ш ( ЭП288-Ш)</v>
      </c>
      <c r="D44" s="131">
        <f ca="1">IFERROR(__xludf.DUMMYFUNCTION("""COMPUTED_VALUE"""),100)</f>
        <v>100</v>
      </c>
      <c r="E44" s="131"/>
      <c r="F44" s="132" t="str">
        <f ca="1">IFERROR(__xludf.DUMMYFUNCTION("""COMPUTED_VALUE"""),"УЗК, обточ АТП ту 14-1-1660 2гп")</f>
        <v>УЗК, обточ АТП ту 14-1-1660 2гп</v>
      </c>
      <c r="G44" s="133">
        <f ca="1">IFERROR(__xludf.DUMMYFUNCTION("""COMPUTED_VALUE"""),0.982)</f>
        <v>0.98199999999999998</v>
      </c>
      <c r="H44" s="133"/>
      <c r="I44" s="134">
        <f ca="1">IFERROR(__xludf.DUMMYFUNCTION("""COMPUTED_VALUE"""),1100000)</f>
        <v>1100000</v>
      </c>
    </row>
    <row r="45" spans="2:9" x14ac:dyDescent="0.3">
      <c r="B45" s="130" t="str">
        <f ca="1">IFERROR(__xludf.DUMMYFUNCTION("""COMPUTED_VALUE"""),"круг")</f>
        <v>круг</v>
      </c>
      <c r="C45" s="125" t="str">
        <f ca="1">IFERROR(__xludf.DUMMYFUNCTION("""COMPUTED_VALUE"""),"07Х16Н6-Ш ( ЭП288-Ш)")</f>
        <v>07Х16Н6-Ш ( ЭП288-Ш)</v>
      </c>
      <c r="D45" s="131">
        <f ca="1">IFERROR(__xludf.DUMMYFUNCTION("""COMPUTED_VALUE"""),100)</f>
        <v>100</v>
      </c>
      <c r="E45" s="131"/>
      <c r="F45" s="132" t="str">
        <f ca="1">IFERROR(__xludf.DUMMYFUNCTION("""COMPUTED_VALUE"""),"УЗК, обточ АТП ту 14-1-1660 2гп")</f>
        <v>УЗК, обточ АТП ту 14-1-1660 2гп</v>
      </c>
      <c r="G45" s="133">
        <f ca="1">IFERROR(__xludf.DUMMYFUNCTION("""COMPUTED_VALUE"""),1.16)</f>
        <v>1.1599999999999999</v>
      </c>
      <c r="H45" s="133"/>
      <c r="I45" s="134">
        <f ca="1">IFERROR(__xludf.DUMMYFUNCTION("""COMPUTED_VALUE"""),1100000)</f>
        <v>1100000</v>
      </c>
    </row>
    <row r="46" spans="2:9" x14ac:dyDescent="0.3">
      <c r="B46" s="130" t="str">
        <f ca="1">IFERROR(__xludf.DUMMYFUNCTION("""COMPUTED_VALUE"""),"круг")</f>
        <v>круг</v>
      </c>
      <c r="C46" s="125" t="str">
        <f ca="1">IFERROR(__xludf.DUMMYFUNCTION("""COMPUTED_VALUE"""),"07Х16Н6-Ш ( ЭП288-Ш)")</f>
        <v>07Х16Н6-Ш ( ЭП288-Ш)</v>
      </c>
      <c r="D46" s="131">
        <f ca="1">IFERROR(__xludf.DUMMYFUNCTION("""COMPUTED_VALUE"""),110)</f>
        <v>110</v>
      </c>
      <c r="E46" s="131"/>
      <c r="F46" s="132" t="str">
        <f ca="1">IFERROR(__xludf.DUMMYFUNCTION("""COMPUTED_VALUE"""),"УЗК, обточ АТП ту 14-1-1660 2гп")</f>
        <v>УЗК, обточ АТП ту 14-1-1660 2гп</v>
      </c>
      <c r="G46" s="133">
        <f ca="1">IFERROR(__xludf.DUMMYFUNCTION("""COMPUTED_VALUE"""),0.0760000000000009)</f>
        <v>7.60000000000009E-2</v>
      </c>
      <c r="H46" s="133"/>
      <c r="I46" s="134">
        <f ca="1">IFERROR(__xludf.DUMMYFUNCTION("""COMPUTED_VALUE"""),1100000)</f>
        <v>1100000</v>
      </c>
    </row>
    <row r="47" spans="2:9" x14ac:dyDescent="0.3">
      <c r="B47" s="130" t="str">
        <f ca="1">IFERROR(__xludf.DUMMYFUNCTION("""COMPUTED_VALUE"""),"круг")</f>
        <v>круг</v>
      </c>
      <c r="C47" s="125" t="str">
        <f ca="1">IFERROR(__xludf.DUMMYFUNCTION("""COMPUTED_VALUE"""),"07Х16Н6-Ш ( ЭП288-Ш)")</f>
        <v>07Х16Н6-Ш ( ЭП288-Ш)</v>
      </c>
      <c r="D47" s="131">
        <f ca="1">IFERROR(__xludf.DUMMYFUNCTION("""COMPUTED_VALUE"""),110)</f>
        <v>110</v>
      </c>
      <c r="E47" s="131"/>
      <c r="F47" s="132" t="str">
        <f ca="1">IFERROR(__xludf.DUMMYFUNCTION("""COMPUTED_VALUE"""),"УЗК, обточ АТП ту 14-1-1660 2гп")</f>
        <v>УЗК, обточ АТП ту 14-1-1660 2гп</v>
      </c>
      <c r="G47" s="133">
        <f ca="1">IFERROR(__xludf.DUMMYFUNCTION("""COMPUTED_VALUE"""),0.107999999999999)</f>
        <v>0.107999999999999</v>
      </c>
      <c r="H47" s="133"/>
      <c r="I47" s="134">
        <f ca="1">IFERROR(__xludf.DUMMYFUNCTION("""COMPUTED_VALUE"""),1100000)</f>
        <v>1100000</v>
      </c>
    </row>
    <row r="48" spans="2:9" x14ac:dyDescent="0.3">
      <c r="B48" s="130" t="str">
        <f ca="1">IFERROR(__xludf.DUMMYFUNCTION("""COMPUTED_VALUE"""),"круг")</f>
        <v>круг</v>
      </c>
      <c r="C48" s="125" t="str">
        <f ca="1">IFERROR(__xludf.DUMMYFUNCTION("""COMPUTED_VALUE"""),"07Х16Н6-Ш ( ЭП288-Ш)")</f>
        <v>07Х16Н6-Ш ( ЭП288-Ш)</v>
      </c>
      <c r="D48" s="131">
        <f ca="1">IFERROR(__xludf.DUMMYFUNCTION("""COMPUTED_VALUE"""),120)</f>
        <v>120</v>
      </c>
      <c r="E48" s="131"/>
      <c r="F48" s="132" t="str">
        <f ca="1">IFERROR(__xludf.DUMMYFUNCTION("""COMPUTED_VALUE"""),"УЗК, обточ АТП ту 14-1-1660 2гп")</f>
        <v>УЗК, обточ АТП ту 14-1-1660 2гп</v>
      </c>
      <c r="G48" s="133">
        <f ca="1">IFERROR(__xludf.DUMMYFUNCTION("""COMPUTED_VALUE"""),0.326999999999999)</f>
        <v>0.32699999999999901</v>
      </c>
      <c r="H48" s="133"/>
      <c r="I48" s="134">
        <f ca="1">IFERROR(__xludf.DUMMYFUNCTION("""COMPUTED_VALUE"""),1100000)</f>
        <v>1100000</v>
      </c>
    </row>
    <row r="49" spans="2:9" x14ac:dyDescent="0.3">
      <c r="B49" s="130" t="str">
        <f ca="1">IFERROR(__xludf.DUMMYFUNCTION("""COMPUTED_VALUE"""),"круг")</f>
        <v>круг</v>
      </c>
      <c r="C49" s="125" t="str">
        <f ca="1">IFERROR(__xludf.DUMMYFUNCTION("""COMPUTED_VALUE"""),"07Х16Н6-Ш ( ЭП288-Ш)")</f>
        <v>07Х16Н6-Ш ( ЭП288-Ш)</v>
      </c>
      <c r="D49" s="131">
        <f ca="1">IFERROR(__xludf.DUMMYFUNCTION("""COMPUTED_VALUE"""),120)</f>
        <v>120</v>
      </c>
      <c r="E49" s="131"/>
      <c r="F49" s="132" t="str">
        <f ca="1">IFERROR(__xludf.DUMMYFUNCTION("""COMPUTED_VALUE"""),"УЗК, обточ АТП ту 14-1-1660 2гп")</f>
        <v>УЗК, обточ АТП ту 14-1-1660 2гп</v>
      </c>
      <c r="G49" s="133">
        <f ca="1">IFERROR(__xludf.DUMMYFUNCTION("""COMPUTED_VALUE"""),2.43499999999999)</f>
        <v>2.4349999999999898</v>
      </c>
      <c r="H49" s="133"/>
      <c r="I49" s="134">
        <f ca="1">IFERROR(__xludf.DUMMYFUNCTION("""COMPUTED_VALUE"""),1100000)</f>
        <v>1100000</v>
      </c>
    </row>
    <row r="50" spans="2:9" x14ac:dyDescent="0.3">
      <c r="B50" s="130" t="str">
        <f ca="1">IFERROR(__xludf.DUMMYFUNCTION("""COMPUTED_VALUE"""),"круг")</f>
        <v>круг</v>
      </c>
      <c r="C50" s="125" t="str">
        <f ca="1">IFERROR(__xludf.DUMMYFUNCTION("""COMPUTED_VALUE"""),"07Х16Н6-Ш ( ЭП288-Ш)")</f>
        <v>07Х16Н6-Ш ( ЭП288-Ш)</v>
      </c>
      <c r="D50" s="131">
        <f ca="1">IFERROR(__xludf.DUMMYFUNCTION("""COMPUTED_VALUE"""),130)</f>
        <v>130</v>
      </c>
      <c r="E50" s="131"/>
      <c r="F50" s="132" t="str">
        <f ca="1">IFERROR(__xludf.DUMMYFUNCTION("""COMPUTED_VALUE"""),"УЗК, обточ АТП ту 14-1-1660 2гп")</f>
        <v>УЗК, обточ АТП ту 14-1-1660 2гп</v>
      </c>
      <c r="G50" s="133">
        <f ca="1">IFERROR(__xludf.DUMMYFUNCTION("""COMPUTED_VALUE"""),0.349)</f>
        <v>0.34899999999999998</v>
      </c>
      <c r="H50" s="133"/>
      <c r="I50" s="134">
        <f ca="1">IFERROR(__xludf.DUMMYFUNCTION("""COMPUTED_VALUE"""),1100000)</f>
        <v>1100000</v>
      </c>
    </row>
    <row r="51" spans="2:9" x14ac:dyDescent="0.3">
      <c r="B51" s="130" t="str">
        <f ca="1">IFERROR(__xludf.DUMMYFUNCTION("""COMPUTED_VALUE"""),"круг")</f>
        <v>круг</v>
      </c>
      <c r="C51" s="125" t="str">
        <f ca="1">IFERROR(__xludf.DUMMYFUNCTION("""COMPUTED_VALUE"""),"07Х16Н6-Ш ( ЭП288-Ш)")</f>
        <v>07Х16Н6-Ш ( ЭП288-Ш)</v>
      </c>
      <c r="D51" s="131">
        <f ca="1">IFERROR(__xludf.DUMMYFUNCTION("""COMPUTED_VALUE"""),130)</f>
        <v>130</v>
      </c>
      <c r="E51" s="131"/>
      <c r="F51" s="132" t="str">
        <f ca="1">IFERROR(__xludf.DUMMYFUNCTION("""COMPUTED_VALUE"""),"УЗК, обточ АТП ту 14-1-1660 2гп")</f>
        <v>УЗК, обточ АТП ту 14-1-1660 2гп</v>
      </c>
      <c r="G51" s="133">
        <f ca="1">IFERROR(__xludf.DUMMYFUNCTION("""COMPUTED_VALUE"""),2.085)</f>
        <v>2.085</v>
      </c>
      <c r="H51" s="133"/>
      <c r="I51" s="134">
        <f ca="1">IFERROR(__xludf.DUMMYFUNCTION("""COMPUTED_VALUE"""),1100000)</f>
        <v>1100000</v>
      </c>
    </row>
    <row r="52" spans="2:9" x14ac:dyDescent="0.3">
      <c r="B52" s="130" t="str">
        <f ca="1">IFERROR(__xludf.DUMMYFUNCTION("""COMPUTED_VALUE"""),"круг")</f>
        <v>круг</v>
      </c>
      <c r="C52" s="125" t="str">
        <f ca="1">IFERROR(__xludf.DUMMYFUNCTION("""COMPUTED_VALUE"""),"07Х16Н6-Ш ( ЭП288-Ш)")</f>
        <v>07Х16Н6-Ш ( ЭП288-Ш)</v>
      </c>
      <c r="D52" s="131">
        <f ca="1">IFERROR(__xludf.DUMMYFUNCTION("""COMPUTED_VALUE"""),130)</f>
        <v>130</v>
      </c>
      <c r="E52" s="131"/>
      <c r="F52" s="132" t="str">
        <f ca="1">IFERROR(__xludf.DUMMYFUNCTION("""COMPUTED_VALUE"""),"УЗК, обточ АТП ту 14-1-1660 2гп")</f>
        <v>УЗК, обточ АТП ту 14-1-1660 2гп</v>
      </c>
      <c r="G52" s="133">
        <f ca="1">IFERROR(__xludf.DUMMYFUNCTION("""COMPUTED_VALUE"""),2.175)</f>
        <v>2.1749999999999998</v>
      </c>
      <c r="H52" s="133"/>
      <c r="I52" s="134">
        <f ca="1">IFERROR(__xludf.DUMMYFUNCTION("""COMPUTED_VALUE"""),1100000)</f>
        <v>1100000</v>
      </c>
    </row>
    <row r="53" spans="2:9" x14ac:dyDescent="0.3">
      <c r="B53" s="130" t="str">
        <f ca="1">IFERROR(__xludf.DUMMYFUNCTION("""COMPUTED_VALUE"""),"круг")</f>
        <v>круг</v>
      </c>
      <c r="C53" s="125" t="str">
        <f ca="1">IFERROR(__xludf.DUMMYFUNCTION("""COMPUTED_VALUE"""),"07Х16Н6-Ш ( ЭП288-Ш)")</f>
        <v>07Х16Н6-Ш ( ЭП288-Ш)</v>
      </c>
      <c r="D53" s="131">
        <f ca="1">IFERROR(__xludf.DUMMYFUNCTION("""COMPUTED_VALUE"""),135)</f>
        <v>135</v>
      </c>
      <c r="E53" s="131"/>
      <c r="F53" s="132" t="str">
        <f ca="1">IFERROR(__xludf.DUMMYFUNCTION("""COMPUTED_VALUE"""),"УЗК, обточ АТП ту 14-1-1660 2гп")</f>
        <v>УЗК, обточ АТП ту 14-1-1660 2гп</v>
      </c>
      <c r="G53" s="133">
        <f ca="1">IFERROR(__xludf.DUMMYFUNCTION("""COMPUTED_VALUE"""),0.565)</f>
        <v>0.56499999999999995</v>
      </c>
      <c r="H53" s="133"/>
      <c r="I53" s="134">
        <f ca="1">IFERROR(__xludf.DUMMYFUNCTION("""COMPUTED_VALUE"""),1000000)</f>
        <v>1000000</v>
      </c>
    </row>
    <row r="54" spans="2:9" x14ac:dyDescent="0.3">
      <c r="B54" s="130" t="str">
        <f ca="1">IFERROR(__xludf.DUMMYFUNCTION("""COMPUTED_VALUE"""),"круг")</f>
        <v>круг</v>
      </c>
      <c r="C54" s="125" t="str">
        <f ca="1">IFERROR(__xludf.DUMMYFUNCTION("""COMPUTED_VALUE"""),"07Х16Н6-Ш ( ЭП288-Ш)")</f>
        <v>07Х16Н6-Ш ( ЭП288-Ш)</v>
      </c>
      <c r="D54" s="131">
        <f ca="1">IFERROR(__xludf.DUMMYFUNCTION("""COMPUTED_VALUE"""),140)</f>
        <v>140</v>
      </c>
      <c r="E54" s="131"/>
      <c r="F54" s="132" t="str">
        <f ca="1">IFERROR(__xludf.DUMMYFUNCTION("""COMPUTED_VALUE"""),"УЗК, обточ АТП ту 14-1-1660 2гп")</f>
        <v>УЗК, обточ АТП ту 14-1-1660 2гп</v>
      </c>
      <c r="G54" s="133">
        <f ca="1">IFERROR(__xludf.DUMMYFUNCTION("""COMPUTED_VALUE"""),1.436)</f>
        <v>1.4359999999999999</v>
      </c>
      <c r="H54" s="133"/>
      <c r="I54" s="134">
        <f ca="1">IFERROR(__xludf.DUMMYFUNCTION("""COMPUTED_VALUE"""),1100000)</f>
        <v>1100000</v>
      </c>
    </row>
    <row r="55" spans="2:9" x14ac:dyDescent="0.3">
      <c r="B55" s="130" t="str">
        <f ca="1">IFERROR(__xludf.DUMMYFUNCTION("""COMPUTED_VALUE"""),"круг")</f>
        <v>круг</v>
      </c>
      <c r="C55" s="125" t="str">
        <f ca="1">IFERROR(__xludf.DUMMYFUNCTION("""COMPUTED_VALUE"""),"07Х16Н6-Ш ( ЭП288-Ш)")</f>
        <v>07Х16Н6-Ш ( ЭП288-Ш)</v>
      </c>
      <c r="D55" s="131">
        <f ca="1">IFERROR(__xludf.DUMMYFUNCTION("""COMPUTED_VALUE"""),140)</f>
        <v>140</v>
      </c>
      <c r="E55" s="131"/>
      <c r="F55" s="132" t="str">
        <f ca="1">IFERROR(__xludf.DUMMYFUNCTION("""COMPUTED_VALUE"""),"УЗК, обточ АТП ту 14-1-1660 ")</f>
        <v xml:space="preserve">УЗК, обточ АТП ту 14-1-1660 </v>
      </c>
      <c r="G55" s="133">
        <f ca="1">IFERROR(__xludf.DUMMYFUNCTION("""COMPUTED_VALUE"""),3.37)</f>
        <v>3.37</v>
      </c>
      <c r="H55" s="133"/>
      <c r="I55" s="134">
        <f ca="1">IFERROR(__xludf.DUMMYFUNCTION("""COMPUTED_VALUE"""),1100000)</f>
        <v>1100000</v>
      </c>
    </row>
    <row r="56" spans="2:9" x14ac:dyDescent="0.3">
      <c r="B56" s="130" t="str">
        <f ca="1">IFERROR(__xludf.DUMMYFUNCTION("""COMPUTED_VALUE"""),"круг")</f>
        <v>круг</v>
      </c>
      <c r="C56" s="125" t="str">
        <f ca="1">IFERROR(__xludf.DUMMYFUNCTION("""COMPUTED_VALUE"""),"07Х16Н6-Ш ( ЭП288-Ш)")</f>
        <v>07Х16Н6-Ш ( ЭП288-Ш)</v>
      </c>
      <c r="D56" s="131">
        <f ca="1">IFERROR(__xludf.DUMMYFUNCTION("""COMPUTED_VALUE"""),150)</f>
        <v>150</v>
      </c>
      <c r="E56" s="131"/>
      <c r="F56" s="132" t="str">
        <f ca="1">IFERROR(__xludf.DUMMYFUNCTION("""COMPUTED_VALUE"""),"УЗК, обточ АТП ту 14-1-1660 2гп")</f>
        <v>УЗК, обточ АТП ту 14-1-1660 2гп</v>
      </c>
      <c r="G56" s="133">
        <f ca="1">IFERROR(__xludf.DUMMYFUNCTION("""COMPUTED_VALUE"""),3.06799999999999)</f>
        <v>3.0679999999999898</v>
      </c>
      <c r="H56" s="133"/>
      <c r="I56" s="134">
        <f ca="1">IFERROR(__xludf.DUMMYFUNCTION("""COMPUTED_VALUE"""),1100000)</f>
        <v>1100000</v>
      </c>
    </row>
    <row r="57" spans="2:9" x14ac:dyDescent="0.3">
      <c r="B57" s="130" t="str">
        <f ca="1">IFERROR(__xludf.DUMMYFUNCTION("""COMPUTED_VALUE"""),"круг")</f>
        <v>круг</v>
      </c>
      <c r="C57" s="125" t="str">
        <f ca="1">IFERROR(__xludf.DUMMYFUNCTION("""COMPUTED_VALUE"""),"07Х16Н6-Ш ( ЭП288-Ш)")</f>
        <v>07Х16Н6-Ш ( ЭП288-Ш)</v>
      </c>
      <c r="D57" s="131">
        <f ca="1">IFERROR(__xludf.DUMMYFUNCTION("""COMPUTED_VALUE"""),160)</f>
        <v>160</v>
      </c>
      <c r="E57" s="131"/>
      <c r="F57" s="132" t="str">
        <f ca="1">IFERROR(__xludf.DUMMYFUNCTION("""COMPUTED_VALUE"""),"УЗК, обточ АТП ту 14-1-1660 2гп")</f>
        <v>УЗК, обточ АТП ту 14-1-1660 2гп</v>
      </c>
      <c r="G57" s="133">
        <f ca="1">IFERROR(__xludf.DUMMYFUNCTION("""COMPUTED_VALUE"""),0.159)</f>
        <v>0.159</v>
      </c>
      <c r="H57" s="133"/>
      <c r="I57" s="134">
        <f ca="1">IFERROR(__xludf.DUMMYFUNCTION("""COMPUTED_VALUE"""),1100000)</f>
        <v>1100000</v>
      </c>
    </row>
    <row r="58" spans="2:9" x14ac:dyDescent="0.3">
      <c r="B58" s="130" t="str">
        <f ca="1">IFERROR(__xludf.DUMMYFUNCTION("""COMPUTED_VALUE"""),"круг")</f>
        <v>круг</v>
      </c>
      <c r="C58" s="125" t="str">
        <f ca="1">IFERROR(__xludf.DUMMYFUNCTION("""COMPUTED_VALUE"""),"07Х16Н6-Ш ( ЭП288-Ш)")</f>
        <v>07Х16Н6-Ш ( ЭП288-Ш)</v>
      </c>
      <c r="D58" s="131">
        <f ca="1">IFERROR(__xludf.DUMMYFUNCTION("""COMPUTED_VALUE"""),160)</f>
        <v>160</v>
      </c>
      <c r="E58" s="131"/>
      <c r="F58" s="132" t="str">
        <f ca="1">IFERROR(__xludf.DUMMYFUNCTION("""COMPUTED_VALUE"""),"УЗК, обточ АТП ту 14-1-1660 2гп")</f>
        <v>УЗК, обточ АТП ту 14-1-1660 2гп</v>
      </c>
      <c r="G58" s="133">
        <f ca="1">IFERROR(__xludf.DUMMYFUNCTION("""COMPUTED_VALUE"""),0.794)</f>
        <v>0.79400000000000004</v>
      </c>
      <c r="H58" s="133"/>
      <c r="I58" s="134">
        <f ca="1">IFERROR(__xludf.DUMMYFUNCTION("""COMPUTED_VALUE"""),1100000)</f>
        <v>1100000</v>
      </c>
    </row>
    <row r="59" spans="2:9" x14ac:dyDescent="0.3">
      <c r="B59" s="130" t="str">
        <f ca="1">IFERROR(__xludf.DUMMYFUNCTION("""COMPUTED_VALUE"""),"круг")</f>
        <v>круг</v>
      </c>
      <c r="C59" s="125" t="str">
        <f ca="1">IFERROR(__xludf.DUMMYFUNCTION("""COMPUTED_VALUE"""),"07Х16Н6-Ш ( ЭП288-Ш)")</f>
        <v>07Х16Н6-Ш ( ЭП288-Ш)</v>
      </c>
      <c r="D59" s="131">
        <f ca="1">IFERROR(__xludf.DUMMYFUNCTION("""COMPUTED_VALUE"""),180)</f>
        <v>180</v>
      </c>
      <c r="E59" s="131"/>
      <c r="F59" s="132" t="str">
        <f ca="1">IFERROR(__xludf.DUMMYFUNCTION("""COMPUTED_VALUE"""),"УЗК, обточ АТП ту 14-1-1660 ")</f>
        <v xml:space="preserve">УЗК, обточ АТП ту 14-1-1660 </v>
      </c>
      <c r="G59" s="133">
        <f ca="1">IFERROR(__xludf.DUMMYFUNCTION("""COMPUTED_VALUE"""),2.17599999999999)</f>
        <v>2.1759999999999899</v>
      </c>
      <c r="H59" s="133"/>
      <c r="I59" s="134">
        <f ca="1">IFERROR(__xludf.DUMMYFUNCTION("""COMPUTED_VALUE"""),1100000)</f>
        <v>1100000</v>
      </c>
    </row>
    <row r="60" spans="2:9" x14ac:dyDescent="0.3">
      <c r="B60" s="130" t="str">
        <f ca="1">IFERROR(__xludf.DUMMYFUNCTION("""COMPUTED_VALUE"""),"круг")</f>
        <v>круг</v>
      </c>
      <c r="C60" s="125" t="str">
        <f ca="1">IFERROR(__xludf.DUMMYFUNCTION("""COMPUTED_VALUE"""),"07Х16Н6-Ш ( ЭП288-Ш)")</f>
        <v>07Х16Н6-Ш ( ЭП288-Ш)</v>
      </c>
      <c r="D60" s="131">
        <f ca="1">IFERROR(__xludf.DUMMYFUNCTION("""COMPUTED_VALUE"""),200)</f>
        <v>200</v>
      </c>
      <c r="E60" s="131"/>
      <c r="F60" s="132" t="str">
        <f ca="1">IFERROR(__xludf.DUMMYFUNCTION("""COMPUTED_VALUE"""),"УЗК, обточ АТП ту 14-1-1660 ")</f>
        <v xml:space="preserve">УЗК, обточ АТП ту 14-1-1660 </v>
      </c>
      <c r="G60" s="133">
        <f ca="1">IFERROR(__xludf.DUMMYFUNCTION("""COMPUTED_VALUE"""),0.909999999999999)</f>
        <v>0.90999999999999903</v>
      </c>
      <c r="H60" s="133"/>
      <c r="I60" s="134">
        <f ca="1">IFERROR(__xludf.DUMMYFUNCTION("""COMPUTED_VALUE"""),1100000)</f>
        <v>1100000</v>
      </c>
    </row>
    <row r="61" spans="2:9" x14ac:dyDescent="0.3">
      <c r="B61" s="130" t="str">
        <f ca="1">IFERROR(__xludf.DUMMYFUNCTION("""COMPUTED_VALUE"""),"круг")</f>
        <v>круг</v>
      </c>
      <c r="C61" s="125" t="str">
        <f ca="1">IFERROR(__xludf.DUMMYFUNCTION("""COMPUTED_VALUE"""),"07Х16Н6-Ш ( ЭП288-Ш)")</f>
        <v>07Х16Н6-Ш ( ЭП288-Ш)</v>
      </c>
      <c r="D61" s="131">
        <f ca="1">IFERROR(__xludf.DUMMYFUNCTION("""COMPUTED_VALUE"""),200)</f>
        <v>200</v>
      </c>
      <c r="E61" s="131"/>
      <c r="F61" s="132" t="str">
        <f ca="1">IFERROR(__xludf.DUMMYFUNCTION("""COMPUTED_VALUE"""),"УЗК, обточ АТП ту 14-1-1660 ")</f>
        <v xml:space="preserve">УЗК, обточ АТП ту 14-1-1660 </v>
      </c>
      <c r="G61" s="133">
        <f ca="1">IFERROR(__xludf.DUMMYFUNCTION("""COMPUTED_VALUE"""),0.875)</f>
        <v>0.875</v>
      </c>
      <c r="H61" s="133"/>
      <c r="I61" s="134">
        <f ca="1">IFERROR(__xludf.DUMMYFUNCTION("""COMPUTED_VALUE"""),1100000)</f>
        <v>1100000</v>
      </c>
    </row>
    <row r="62" spans="2:9" x14ac:dyDescent="0.3">
      <c r="B62" s="130" t="str">
        <f ca="1">IFERROR(__xludf.DUMMYFUNCTION("""COMPUTED_VALUE"""),"круг")</f>
        <v>круг</v>
      </c>
      <c r="C62" s="125" t="str">
        <f ca="1">IFERROR(__xludf.DUMMYFUNCTION("""COMPUTED_VALUE"""),"07Х16Н6-Ш ( ЭП288-Ш)")</f>
        <v>07Х16Н6-Ш ( ЭП288-Ш)</v>
      </c>
      <c r="D62" s="131">
        <f ca="1">IFERROR(__xludf.DUMMYFUNCTION("""COMPUTED_VALUE"""),220)</f>
        <v>220</v>
      </c>
      <c r="E62" s="131"/>
      <c r="F62" s="132" t="str">
        <f ca="1">IFERROR(__xludf.DUMMYFUNCTION("""COMPUTED_VALUE"""),"ту 14-1-1660, УЗК, АТП,")</f>
        <v>ту 14-1-1660, УЗК, АТП,</v>
      </c>
      <c r="G62" s="133">
        <f ca="1">IFERROR(__xludf.DUMMYFUNCTION("""COMPUTED_VALUE"""),1.911)</f>
        <v>1.911</v>
      </c>
      <c r="H62" s="133"/>
      <c r="I62" s="134">
        <f ca="1">IFERROR(__xludf.DUMMYFUNCTION("""COMPUTED_VALUE"""),1250000)</f>
        <v>1250000</v>
      </c>
    </row>
    <row r="63" spans="2:9" x14ac:dyDescent="0.3">
      <c r="B63" s="130" t="str">
        <f ca="1">IFERROR(__xludf.DUMMYFUNCTION("""COMPUTED_VALUE"""),"круг")</f>
        <v>круг</v>
      </c>
      <c r="C63" s="125" t="str">
        <f ca="1">IFERROR(__xludf.DUMMYFUNCTION("""COMPUTED_VALUE"""),"07Х16Н6-Ш ( ЭП288-Ш)")</f>
        <v>07Х16Н6-Ш ( ЭП288-Ш)</v>
      </c>
      <c r="D63" s="131">
        <f ca="1">IFERROR(__xludf.DUMMYFUNCTION("""COMPUTED_VALUE"""),220)</f>
        <v>220</v>
      </c>
      <c r="E63" s="131"/>
      <c r="F63" s="132" t="str">
        <f ca="1">IFERROR(__xludf.DUMMYFUNCTION("""COMPUTED_VALUE"""),"ту 14-1-1660, УЗК, АТП,")</f>
        <v>ту 14-1-1660, УЗК, АТП,</v>
      </c>
      <c r="G63" s="133">
        <f ca="1">IFERROR(__xludf.DUMMYFUNCTION("""COMPUTED_VALUE"""),1.055)</f>
        <v>1.0549999999999999</v>
      </c>
      <c r="H63" s="133"/>
      <c r="I63" s="134">
        <f ca="1">IFERROR(__xludf.DUMMYFUNCTION("""COMPUTED_VALUE"""),1250000)</f>
        <v>1250000</v>
      </c>
    </row>
    <row r="64" spans="2:9" x14ac:dyDescent="0.3">
      <c r="B64" s="130" t="str">
        <f ca="1">IFERROR(__xludf.DUMMYFUNCTION("""COMPUTED_VALUE"""),"круг")</f>
        <v>круг</v>
      </c>
      <c r="C64" s="125" t="str">
        <f ca="1">IFERROR(__xludf.DUMMYFUNCTION("""COMPUTED_VALUE"""),"07Х16Н6-Ш ( ЭП288-Ш)")</f>
        <v>07Х16Н6-Ш ( ЭП288-Ш)</v>
      </c>
      <c r="D64" s="131">
        <f ca="1">IFERROR(__xludf.DUMMYFUNCTION("""COMPUTED_VALUE"""),250)</f>
        <v>250</v>
      </c>
      <c r="E64" s="131"/>
      <c r="F64" s="132" t="str">
        <f ca="1">IFERROR(__xludf.DUMMYFUNCTION("""COMPUTED_VALUE"""),"УЗК, обточ АТП ту 14-1-1660")</f>
        <v>УЗК, обточ АТП ту 14-1-1660</v>
      </c>
      <c r="G64" s="133">
        <f ca="1">IFERROR(__xludf.DUMMYFUNCTION("""COMPUTED_VALUE"""),1.088)</f>
        <v>1.0880000000000001</v>
      </c>
      <c r="H64" s="133"/>
      <c r="I64" s="134">
        <f ca="1">IFERROR(__xludf.DUMMYFUNCTION("""COMPUTED_VALUE"""),1100000)</f>
        <v>1100000</v>
      </c>
    </row>
    <row r="65" spans="2:9" x14ac:dyDescent="0.3">
      <c r="B65" s="130" t="str">
        <f ca="1">IFERROR(__xludf.DUMMYFUNCTION("""COMPUTED_VALUE"""),"круг")</f>
        <v>круг</v>
      </c>
      <c r="C65" s="125" t="str">
        <f ca="1">IFERROR(__xludf.DUMMYFUNCTION("""COMPUTED_VALUE"""),"07Х16Н6-Ш ( ЭП288-Ш)")</f>
        <v>07Х16Н6-Ш ( ЭП288-Ш)</v>
      </c>
      <c r="D65" s="131">
        <f ca="1">IFERROR(__xludf.DUMMYFUNCTION("""COMPUTED_VALUE"""),280)</f>
        <v>280</v>
      </c>
      <c r="E65" s="131"/>
      <c r="F65" s="132" t="str">
        <f ca="1">IFERROR(__xludf.DUMMYFUNCTION("""COMPUTED_VALUE"""),"ТУ14-1-1660-76,  IVК, УЗК, МКК РТ")</f>
        <v>ТУ14-1-1660-76,  IVК, УЗК, МКК РТ</v>
      </c>
      <c r="G65" s="133">
        <f ca="1">IFERROR(__xludf.DUMMYFUNCTION("""COMPUTED_VALUE"""),1.184)</f>
        <v>1.1839999999999999</v>
      </c>
      <c r="H65" s="133"/>
      <c r="I65" s="134">
        <f ca="1">IFERROR(__xludf.DUMMYFUNCTION("""COMPUTED_VALUE"""),1100000)</f>
        <v>1100000</v>
      </c>
    </row>
    <row r="66" spans="2:9" x14ac:dyDescent="0.3">
      <c r="B66" s="130" t="str">
        <f ca="1">IFERROR(__xludf.DUMMYFUNCTION("""COMPUTED_VALUE"""),"круг")</f>
        <v>круг</v>
      </c>
      <c r="C66" s="125" t="str">
        <f ca="1">IFERROR(__xludf.DUMMYFUNCTION("""COMPUTED_VALUE"""),"07Х16Н6-Ш ( ЭП288-Ш)")</f>
        <v>07Х16Н6-Ш ( ЭП288-Ш)</v>
      </c>
      <c r="D66" s="131">
        <f ca="1">IFERROR(__xludf.DUMMYFUNCTION("""COMPUTED_VALUE"""),280)</f>
        <v>280</v>
      </c>
      <c r="E66" s="131"/>
      <c r="F66" s="132" t="str">
        <f ca="1">IFERROR(__xludf.DUMMYFUNCTION("""COMPUTED_VALUE"""),"ТУ14-1-1660-76,  IVК, УЗК, МКК РТ")</f>
        <v>ТУ14-1-1660-76,  IVК, УЗК, МКК РТ</v>
      </c>
      <c r="G66" s="133">
        <f ca="1">IFERROR(__xludf.DUMMYFUNCTION("""COMPUTED_VALUE"""),1.232)</f>
        <v>1.232</v>
      </c>
      <c r="H66" s="133"/>
      <c r="I66" s="134">
        <f ca="1">IFERROR(__xludf.DUMMYFUNCTION("""COMPUTED_VALUE"""),1100000)</f>
        <v>1100000</v>
      </c>
    </row>
    <row r="67" spans="2:9" x14ac:dyDescent="0.3">
      <c r="B67" s="130" t="str">
        <f ca="1">IFERROR(__xludf.DUMMYFUNCTION("""COMPUTED_VALUE"""),"круг")</f>
        <v>круг</v>
      </c>
      <c r="C67" s="125" t="str">
        <f ca="1">IFERROR(__xludf.DUMMYFUNCTION("""COMPUTED_VALUE"""),"07Х16Н6-Ш ( ЭП288-Ш)")</f>
        <v>07Х16Н6-Ш ( ЭП288-Ш)</v>
      </c>
      <c r="D67" s="131">
        <f ca="1">IFERROR(__xludf.DUMMYFUNCTION("""COMPUTED_VALUE"""),300)</f>
        <v>300</v>
      </c>
      <c r="E67" s="131"/>
      <c r="F67" s="132" t="str">
        <f ca="1">IFERROR(__xludf.DUMMYFUNCTION("""COMPUTED_VALUE"""),"ТУ14-1-16160-76,  IVК, УЗК, МКК РТ")</f>
        <v>ТУ14-1-16160-76,  IVК, УЗК, МКК РТ</v>
      </c>
      <c r="G67" s="133">
        <f ca="1">IFERROR(__xludf.DUMMYFUNCTION("""COMPUTED_VALUE"""),1.138)</f>
        <v>1.1379999999999999</v>
      </c>
      <c r="H67" s="133"/>
      <c r="I67" s="134">
        <f ca="1">IFERROR(__xludf.DUMMYFUNCTION("""COMPUTED_VALUE"""),1100000)</f>
        <v>1100000</v>
      </c>
    </row>
    <row r="68" spans="2:9" x14ac:dyDescent="0.3">
      <c r="B68" s="130" t="str">
        <f ca="1">IFERROR(__xludf.DUMMYFUNCTION("""COMPUTED_VALUE"""),"круг")</f>
        <v>круг</v>
      </c>
      <c r="C68" s="125" t="str">
        <f ca="1">IFERROR(__xludf.DUMMYFUNCTION("""COMPUTED_VALUE"""),"07Х16Н6-Ш ( ЭП288-Ш)")</f>
        <v>07Х16Н6-Ш ( ЭП288-Ш)</v>
      </c>
      <c r="D68" s="131">
        <f ca="1">IFERROR(__xludf.DUMMYFUNCTION("""COMPUTED_VALUE"""),300)</f>
        <v>300</v>
      </c>
      <c r="E68" s="131"/>
      <c r="F68" s="132" t="str">
        <f ca="1">IFERROR(__xludf.DUMMYFUNCTION("""COMPUTED_VALUE"""),"ТУ14-1-16160-76,  IVК, УЗК, МКК РТ")</f>
        <v>ТУ14-1-16160-76,  IVК, УЗК, МКК РТ</v>
      </c>
      <c r="G68" s="133">
        <f ca="1">IFERROR(__xludf.DUMMYFUNCTION("""COMPUTED_VALUE"""),1.317)</f>
        <v>1.3169999999999999</v>
      </c>
      <c r="H68" s="133"/>
      <c r="I68" s="134">
        <f ca="1">IFERROR(__xludf.DUMMYFUNCTION("""COMPUTED_VALUE"""),1100000)</f>
        <v>1100000</v>
      </c>
    </row>
    <row r="69" spans="2:9" x14ac:dyDescent="0.3">
      <c r="B69" s="130" t="str">
        <f ca="1">IFERROR(__xludf.DUMMYFUNCTION("""COMPUTED_VALUE"""),"круг")</f>
        <v>круг</v>
      </c>
      <c r="C69" s="125" t="str">
        <f ca="1">IFERROR(__xludf.DUMMYFUNCTION("""COMPUTED_VALUE"""),"07Х16Н6-Ш ( ЭП288-Ш)")</f>
        <v>07Х16Н6-Ш ( ЭП288-Ш)</v>
      </c>
      <c r="D69" s="131">
        <f ca="1">IFERROR(__xludf.DUMMYFUNCTION("""COMPUTED_VALUE"""),330)</f>
        <v>330</v>
      </c>
      <c r="E69" s="131"/>
      <c r="F69" s="132" t="str">
        <f ca="1">IFERROR(__xludf.DUMMYFUNCTION("""COMPUTED_VALUE"""),"ТУ14-1-1660-76,  IVК, УЗК, МКК РТ")</f>
        <v>ТУ14-1-1660-76,  IVК, УЗК, МКК РТ</v>
      </c>
      <c r="G69" s="133">
        <f ca="1">IFERROR(__xludf.DUMMYFUNCTION("""COMPUTED_VALUE"""),1.03)</f>
        <v>1.03</v>
      </c>
      <c r="H69" s="133"/>
      <c r="I69" s="134">
        <f ca="1">IFERROR(__xludf.DUMMYFUNCTION("""COMPUTED_VALUE"""),1100000)</f>
        <v>1100000</v>
      </c>
    </row>
    <row r="70" spans="2:9" x14ac:dyDescent="0.3">
      <c r="B70" s="130" t="str">
        <f ca="1">IFERROR(__xludf.DUMMYFUNCTION("""COMPUTED_VALUE"""),"круг")</f>
        <v>круг</v>
      </c>
      <c r="C70" s="125" t="str">
        <f ca="1">IFERROR(__xludf.DUMMYFUNCTION("""COMPUTED_VALUE"""),"07Х16Н6-Ш ( ЭП288-Ш)")</f>
        <v>07Х16Н6-Ш ( ЭП288-Ш)</v>
      </c>
      <c r="D70" s="131">
        <f ca="1">IFERROR(__xludf.DUMMYFUNCTION("""COMPUTED_VALUE"""),330)</f>
        <v>330</v>
      </c>
      <c r="E70" s="131"/>
      <c r="F70" s="132" t="str">
        <f ca="1">IFERROR(__xludf.DUMMYFUNCTION("""COMPUTED_VALUE"""),"ТУ14-1-1660-76,  IVК, УЗК, МКК РТ")</f>
        <v>ТУ14-1-1660-76,  IVК, УЗК, МКК РТ</v>
      </c>
      <c r="G70" s="133">
        <f ca="1">IFERROR(__xludf.DUMMYFUNCTION("""COMPUTED_VALUE"""),1.113)</f>
        <v>1.113</v>
      </c>
      <c r="H70" s="133"/>
      <c r="I70" s="134">
        <f ca="1">IFERROR(__xludf.DUMMYFUNCTION("""COMPUTED_VALUE"""),1100000)</f>
        <v>1100000</v>
      </c>
    </row>
    <row r="71" spans="2:9" x14ac:dyDescent="0.3">
      <c r="B71" s="130" t="str">
        <f ca="1">IFERROR(__xludf.DUMMYFUNCTION("""COMPUTED_VALUE"""),"круг")</f>
        <v>круг</v>
      </c>
      <c r="C71" s="125" t="str">
        <f ca="1">IFERROR(__xludf.DUMMYFUNCTION("""COMPUTED_VALUE"""),"07Х16Н6-Ш ( ЭП288-Ш)")</f>
        <v>07Х16Н6-Ш ( ЭП288-Ш)</v>
      </c>
      <c r="D71" s="131">
        <f ca="1">IFERROR(__xludf.DUMMYFUNCTION("""COMPUTED_VALUE"""),350)</f>
        <v>350</v>
      </c>
      <c r="E71" s="131"/>
      <c r="F71" s="132" t="str">
        <f ca="1">IFERROR(__xludf.DUMMYFUNCTION("""COMPUTED_VALUE"""),"ту 14-1-1660, УЗК, АТП,")</f>
        <v>ту 14-1-1660, УЗК, АТП,</v>
      </c>
      <c r="G71" s="133">
        <f ca="1">IFERROR(__xludf.DUMMYFUNCTION("""COMPUTED_VALUE"""),2.534)</f>
        <v>2.5339999999999998</v>
      </c>
      <c r="H71" s="133"/>
      <c r="I71" s="134">
        <f ca="1">IFERROR(__xludf.DUMMYFUNCTION("""COMPUTED_VALUE"""),1500000)</f>
        <v>1500000</v>
      </c>
    </row>
    <row r="72" spans="2:9" x14ac:dyDescent="0.3">
      <c r="B72" s="130" t="str">
        <f ca="1">IFERROR(__xludf.DUMMYFUNCTION("""COMPUTED_VALUE"""),"круг")</f>
        <v>круг</v>
      </c>
      <c r="C72" s="125" t="str">
        <f ca="1">IFERROR(__xludf.DUMMYFUNCTION("""COMPUTED_VALUE"""),"07Х16Н6-Ш ( ЭП288-Ш)")</f>
        <v>07Х16Н6-Ш ( ЭП288-Ш)</v>
      </c>
      <c r="D72" s="131">
        <f ca="1">IFERROR(__xludf.DUMMYFUNCTION("""COMPUTED_VALUE"""),380)</f>
        <v>380</v>
      </c>
      <c r="E72" s="131"/>
      <c r="F72" s="132" t="str">
        <f ca="1">IFERROR(__xludf.DUMMYFUNCTION("""COMPUTED_VALUE"""),"ТУ14-1-1660-76,  IVК, УЗК, МКК РТ")</f>
        <v>ТУ14-1-1660-76,  IVК, УЗК, МКК РТ</v>
      </c>
      <c r="G72" s="133">
        <f ca="1">IFERROR(__xludf.DUMMYFUNCTION("""COMPUTED_VALUE"""),0.313)</f>
        <v>0.313</v>
      </c>
      <c r="H72" s="133"/>
      <c r="I72" s="134">
        <f ca="1">IFERROR(__xludf.DUMMYFUNCTION("""COMPUTED_VALUE"""),1100000)</f>
        <v>1100000</v>
      </c>
    </row>
    <row r="73" spans="2:9" x14ac:dyDescent="0.3">
      <c r="B73" s="130" t="str">
        <f ca="1">IFERROR(__xludf.DUMMYFUNCTION("""COMPUTED_VALUE"""),"круг")</f>
        <v>круг</v>
      </c>
      <c r="C73" s="125" t="str">
        <f ca="1">IFERROR(__xludf.DUMMYFUNCTION("""COMPUTED_VALUE"""),"07Х16Н6-Ш ( ЭП288-Ш)")</f>
        <v>07Х16Н6-Ш ( ЭП288-Ш)</v>
      </c>
      <c r="D73" s="131">
        <f ca="1">IFERROR(__xludf.DUMMYFUNCTION("""COMPUTED_VALUE"""),380)</f>
        <v>380</v>
      </c>
      <c r="E73" s="131"/>
      <c r="F73" s="132" t="str">
        <f ca="1">IFERROR(__xludf.DUMMYFUNCTION("""COMPUTED_VALUE"""),"ТУ14-1-1660-76,  IVК, УЗК, МКК РТ")</f>
        <v>ТУ14-1-1660-76,  IVК, УЗК, МКК РТ</v>
      </c>
      <c r="G73" s="133">
        <f ca="1">IFERROR(__xludf.DUMMYFUNCTION("""COMPUTED_VALUE"""),1.032)</f>
        <v>1.032</v>
      </c>
      <c r="H73" s="133"/>
      <c r="I73" s="134">
        <f ca="1">IFERROR(__xludf.DUMMYFUNCTION("""COMPUTED_VALUE"""),1100000)</f>
        <v>1100000</v>
      </c>
    </row>
    <row r="74" spans="2:9" x14ac:dyDescent="0.3">
      <c r="B74" s="130" t="str">
        <f ca="1">IFERROR(__xludf.DUMMYFUNCTION("""COMPUTED_VALUE"""),"круг")</f>
        <v>круг</v>
      </c>
      <c r="C74" s="125" t="str">
        <f ca="1">IFERROR(__xludf.DUMMYFUNCTION("""COMPUTED_VALUE"""),"07Х16Н6-Ш ( ЭП288-Ш)")</f>
        <v>07Х16Н6-Ш ( ЭП288-Ш)</v>
      </c>
      <c r="D74" s="131">
        <f ca="1">IFERROR(__xludf.DUMMYFUNCTION("""COMPUTED_VALUE"""),400)</f>
        <v>400</v>
      </c>
      <c r="E74" s="131"/>
      <c r="F74" s="132" t="str">
        <f ca="1">IFERROR(__xludf.DUMMYFUNCTION("""COMPUTED_VALUE"""),"ТУ14-1-1660-76,  IVК, УЗК, МКК РТ")</f>
        <v>ТУ14-1-1660-76,  IVК, УЗК, МКК РТ</v>
      </c>
      <c r="G74" s="133">
        <f ca="1">IFERROR(__xludf.DUMMYFUNCTION("""COMPUTED_VALUE"""),1.941)</f>
        <v>1.9410000000000001</v>
      </c>
      <c r="H74" s="133"/>
      <c r="I74" s="134">
        <f ca="1">IFERROR(__xludf.DUMMYFUNCTION("""COMPUTED_VALUE"""),1100000)</f>
        <v>1100000</v>
      </c>
    </row>
    <row r="75" spans="2:9" x14ac:dyDescent="0.3">
      <c r="B75" s="130" t="str">
        <f ca="1">IFERROR(__xludf.DUMMYFUNCTION("""COMPUTED_VALUE"""),"круг")</f>
        <v>круг</v>
      </c>
      <c r="C75" s="125" t="str">
        <f ca="1">IFERROR(__xludf.DUMMYFUNCTION("""COMPUTED_VALUE"""),"07Х16Н6-Ш ( ЭП288-Ш)")</f>
        <v>07Х16Н6-Ш ( ЭП288-Ш)</v>
      </c>
      <c r="D75" s="131">
        <f ca="1">IFERROR(__xludf.DUMMYFUNCTION("""COMPUTED_VALUE"""),450)</f>
        <v>450</v>
      </c>
      <c r="E75" s="131"/>
      <c r="F75" s="132" t="str">
        <f ca="1">IFERROR(__xludf.DUMMYFUNCTION("""COMPUTED_VALUE"""),"ТУ14-1-1660-76,  IVК, УЗК, МКК РТ")</f>
        <v>ТУ14-1-1660-76,  IVК, УЗК, МКК РТ</v>
      </c>
      <c r="G75" s="133">
        <f ca="1">IFERROR(__xludf.DUMMYFUNCTION("""COMPUTED_VALUE"""),0.515)</f>
        <v>0.51500000000000001</v>
      </c>
      <c r="H75" s="133"/>
      <c r="I75" s="134">
        <f ca="1">IFERROR(__xludf.DUMMYFUNCTION("""COMPUTED_VALUE"""),1100000)</f>
        <v>1100000</v>
      </c>
    </row>
    <row r="76" spans="2:9" x14ac:dyDescent="0.3">
      <c r="B76" s="130" t="str">
        <f ca="1">IFERROR(__xludf.DUMMYFUNCTION("""COMPUTED_VALUE"""),"круг")</f>
        <v>круг</v>
      </c>
      <c r="C76" s="125" t="str">
        <f ca="1">IFERROR(__xludf.DUMMYFUNCTION("""COMPUTED_VALUE"""),"07Х16Н6 (ЭП288)")</f>
        <v>07Х16Н6 (ЭП288)</v>
      </c>
      <c r="D76" s="131">
        <f ca="1">IFERROR(__xludf.DUMMYFUNCTION("""COMPUTED_VALUE"""),8)</f>
        <v>8</v>
      </c>
      <c r="E76" s="131"/>
      <c r="F76" s="132" t="str">
        <f ca="1">IFERROR(__xludf.DUMMYFUNCTION("""COMPUTED_VALUE"""),"ту 14-1-205, НД, АТП, УзК")</f>
        <v>ту 14-1-205, НД, АТП, УзК</v>
      </c>
      <c r="G76" s="133">
        <f ca="1">IFERROR(__xludf.DUMMYFUNCTION("""COMPUTED_VALUE"""),0.19)</f>
        <v>0.19</v>
      </c>
      <c r="H76" s="133"/>
      <c r="I76" s="134">
        <f ca="1">IFERROR(__xludf.DUMMYFUNCTION("""COMPUTED_VALUE"""),900000)</f>
        <v>900000</v>
      </c>
    </row>
    <row r="77" spans="2:9" x14ac:dyDescent="0.3">
      <c r="B77" s="130" t="str">
        <f ca="1">IFERROR(__xludf.DUMMYFUNCTION("""COMPUTED_VALUE"""),"круг")</f>
        <v>круг</v>
      </c>
      <c r="C77" s="125" t="str">
        <f ca="1">IFERROR(__xludf.DUMMYFUNCTION("""COMPUTED_VALUE"""),"07Х16Н6 (ЭП288)")</f>
        <v>07Х16Н6 (ЭП288)</v>
      </c>
      <c r="D77" s="131">
        <f ca="1">IFERROR(__xludf.DUMMYFUNCTION("""COMPUTED_VALUE"""),9)</f>
        <v>9</v>
      </c>
      <c r="E77" s="131"/>
      <c r="F77" s="132" t="str">
        <f ca="1">IFERROR(__xludf.DUMMYFUNCTION("""COMPUTED_VALUE"""),"ту 14-1-205, НД, АТП, УзК")</f>
        <v>ту 14-1-205, НД, АТП, УзК</v>
      </c>
      <c r="G77" s="133">
        <f ca="1">IFERROR(__xludf.DUMMYFUNCTION("""COMPUTED_VALUE"""),0.191)</f>
        <v>0.191</v>
      </c>
      <c r="H77" s="133"/>
      <c r="I77" s="134">
        <f ca="1">IFERROR(__xludf.DUMMYFUNCTION("""COMPUTED_VALUE"""),900000)</f>
        <v>900000</v>
      </c>
    </row>
    <row r="78" spans="2:9" x14ac:dyDescent="0.3">
      <c r="B78" s="130" t="str">
        <f ca="1">IFERROR(__xludf.DUMMYFUNCTION("""COMPUTED_VALUE"""),"круг")</f>
        <v>круг</v>
      </c>
      <c r="C78" s="125" t="str">
        <f ca="1">IFERROR(__xludf.DUMMYFUNCTION("""COMPUTED_VALUE"""),"07Х16Н6 (ЭП288)")</f>
        <v>07Х16Н6 (ЭП288)</v>
      </c>
      <c r="D78" s="131">
        <f ca="1">IFERROR(__xludf.DUMMYFUNCTION("""COMPUTED_VALUE"""),9)</f>
        <v>9</v>
      </c>
      <c r="E78" s="131"/>
      <c r="F78" s="132" t="str">
        <f ca="1">IFERROR(__xludf.DUMMYFUNCTION("""COMPUTED_VALUE"""),"ту 14-1-205, НД, АТП, УзК")</f>
        <v>ту 14-1-205, НД, АТП, УзК</v>
      </c>
      <c r="G78" s="133">
        <f ca="1">IFERROR(__xludf.DUMMYFUNCTION("""COMPUTED_VALUE"""),0.12)</f>
        <v>0.12</v>
      </c>
      <c r="H78" s="133"/>
      <c r="I78" s="134">
        <f ca="1">IFERROR(__xludf.DUMMYFUNCTION("""COMPUTED_VALUE"""),900000)</f>
        <v>900000</v>
      </c>
    </row>
    <row r="79" spans="2:9" x14ac:dyDescent="0.3">
      <c r="B79" s="130" t="str">
        <f ca="1">IFERROR(__xludf.DUMMYFUNCTION("""COMPUTED_VALUE"""),"круг")</f>
        <v>круг</v>
      </c>
      <c r="C79" s="125" t="str">
        <f ca="1">IFERROR(__xludf.DUMMYFUNCTION("""COMPUTED_VALUE"""),"07Х16Н6 (ЭП288)")</f>
        <v>07Х16Н6 (ЭП288)</v>
      </c>
      <c r="D79" s="131">
        <f ca="1">IFERROR(__xludf.DUMMYFUNCTION("""COMPUTED_VALUE"""),10)</f>
        <v>10</v>
      </c>
      <c r="E79" s="131"/>
      <c r="F79" s="132" t="str">
        <f ca="1">IFERROR(__xludf.DUMMYFUNCTION("""COMPUTED_VALUE"""),"ту 14-1-205, НД, АТП, УзК")</f>
        <v>ту 14-1-205, НД, АТП, УзК</v>
      </c>
      <c r="G79" s="133">
        <f ca="1">IFERROR(__xludf.DUMMYFUNCTION("""COMPUTED_VALUE"""),0.105999999999999)</f>
        <v>0.105999999999999</v>
      </c>
      <c r="H79" s="133"/>
      <c r="I79" s="134">
        <f ca="1">IFERROR(__xludf.DUMMYFUNCTION("""COMPUTED_VALUE"""),810000)</f>
        <v>810000</v>
      </c>
    </row>
    <row r="80" spans="2:9" x14ac:dyDescent="0.3">
      <c r="B80" s="130" t="str">
        <f ca="1">IFERROR(__xludf.DUMMYFUNCTION("""COMPUTED_VALUE"""),"круг")</f>
        <v>круг</v>
      </c>
      <c r="C80" s="125" t="str">
        <f ca="1">IFERROR(__xludf.DUMMYFUNCTION("""COMPUTED_VALUE"""),"07Х16Н6 (ЭП288)")</f>
        <v>07Х16Н6 (ЭП288)</v>
      </c>
      <c r="D80" s="131">
        <f ca="1">IFERROR(__xludf.DUMMYFUNCTION("""COMPUTED_VALUE"""),10)</f>
        <v>10</v>
      </c>
      <c r="E80" s="131"/>
      <c r="F80" s="132" t="str">
        <f ca="1">IFERROR(__xludf.DUMMYFUNCTION("""COMPUTED_VALUE"""),"ту 14-1-205, НД, АТП, УзК")</f>
        <v>ту 14-1-205, НД, АТП, УзК</v>
      </c>
      <c r="G80" s="133">
        <f ca="1">IFERROR(__xludf.DUMMYFUNCTION("""COMPUTED_VALUE"""),0.102)</f>
        <v>0.10199999999999999</v>
      </c>
      <c r="H80" s="133"/>
      <c r="I80" s="134">
        <f ca="1">IFERROR(__xludf.DUMMYFUNCTION("""COMPUTED_VALUE"""),810000)</f>
        <v>810000</v>
      </c>
    </row>
    <row r="81" spans="2:9" x14ac:dyDescent="0.3">
      <c r="B81" s="130" t="str">
        <f ca="1">IFERROR(__xludf.DUMMYFUNCTION("""COMPUTED_VALUE"""),"круг")</f>
        <v>круг</v>
      </c>
      <c r="C81" s="125" t="str">
        <f ca="1">IFERROR(__xludf.DUMMYFUNCTION("""COMPUTED_VALUE"""),"07Х16Н6 (ЭП288)")</f>
        <v>07Х16Н6 (ЭП288)</v>
      </c>
      <c r="D81" s="131">
        <f ca="1">IFERROR(__xludf.DUMMYFUNCTION("""COMPUTED_VALUE"""),10)</f>
        <v>10</v>
      </c>
      <c r="E81" s="131"/>
      <c r="F81" s="132" t="str">
        <f ca="1">IFERROR(__xludf.DUMMYFUNCTION("""COMPUTED_VALUE"""),"ту 14-1-205, НД, АТП, УзК")</f>
        <v>ту 14-1-205, НД, АТП, УзК</v>
      </c>
      <c r="G81" s="133">
        <f ca="1">IFERROR(__xludf.DUMMYFUNCTION("""COMPUTED_VALUE"""),0.304)</f>
        <v>0.30399999999999999</v>
      </c>
      <c r="H81" s="133"/>
      <c r="I81" s="134">
        <f ca="1">IFERROR(__xludf.DUMMYFUNCTION("""COMPUTED_VALUE"""),810000)</f>
        <v>810000</v>
      </c>
    </row>
    <row r="82" spans="2:9" x14ac:dyDescent="0.3">
      <c r="B82" s="130" t="str">
        <f ca="1">IFERROR(__xludf.DUMMYFUNCTION("""COMPUTED_VALUE"""),"круг")</f>
        <v>круг</v>
      </c>
      <c r="C82" s="125" t="str">
        <f ca="1">IFERROR(__xludf.DUMMYFUNCTION("""COMPUTED_VALUE"""),"07Х16Н6 (ЭП288)")</f>
        <v>07Х16Н6 (ЭП288)</v>
      </c>
      <c r="D82" s="131">
        <f ca="1">IFERROR(__xludf.DUMMYFUNCTION("""COMPUTED_VALUE"""),15)</f>
        <v>15</v>
      </c>
      <c r="E82" s="131"/>
      <c r="F82" s="132" t="str">
        <f ca="1">IFERROR(__xludf.DUMMYFUNCTION("""COMPUTED_VALUE"""),"ту 14-1-205, НД, АТП, УзК")</f>
        <v>ту 14-1-205, НД, АТП, УзК</v>
      </c>
      <c r="G82" s="133">
        <f ca="1">IFERROR(__xludf.DUMMYFUNCTION("""COMPUTED_VALUE"""),0.017)</f>
        <v>1.7000000000000001E-2</v>
      </c>
      <c r="H82" s="133"/>
      <c r="I82" s="134">
        <f ca="1">IFERROR(__xludf.DUMMYFUNCTION("""COMPUTED_VALUE"""),810000)</f>
        <v>810000</v>
      </c>
    </row>
    <row r="83" spans="2:9" x14ac:dyDescent="0.3">
      <c r="B83" s="130" t="str">
        <f ca="1">IFERROR(__xludf.DUMMYFUNCTION("""COMPUTED_VALUE"""),"круг")</f>
        <v>круг</v>
      </c>
      <c r="C83" s="125" t="str">
        <f ca="1">IFERROR(__xludf.DUMMYFUNCTION("""COMPUTED_VALUE"""),"07Х16Н6 (ЭП288)")</f>
        <v>07Х16Н6 (ЭП288)</v>
      </c>
      <c r="D83" s="131">
        <f ca="1">IFERROR(__xludf.DUMMYFUNCTION("""COMPUTED_VALUE"""),15)</f>
        <v>15</v>
      </c>
      <c r="E83" s="131"/>
      <c r="F83" s="132" t="str">
        <f ca="1">IFERROR(__xludf.DUMMYFUNCTION("""COMPUTED_VALUE"""),"ту 14-1-205, НД, АТП, УзК")</f>
        <v>ту 14-1-205, НД, АТП, УзК</v>
      </c>
      <c r="G83" s="133">
        <f ca="1">IFERROR(__xludf.DUMMYFUNCTION("""COMPUTED_VALUE"""),0.4)</f>
        <v>0.4</v>
      </c>
      <c r="H83" s="133"/>
      <c r="I83" s="134">
        <f ca="1">IFERROR(__xludf.DUMMYFUNCTION("""COMPUTED_VALUE"""),810000)</f>
        <v>810000</v>
      </c>
    </row>
    <row r="84" spans="2:9" x14ac:dyDescent="0.3">
      <c r="B84" s="130" t="str">
        <f ca="1">IFERROR(__xludf.DUMMYFUNCTION("""COMPUTED_VALUE"""),"круг")</f>
        <v>круг</v>
      </c>
      <c r="C84" s="125" t="str">
        <f ca="1">IFERROR(__xludf.DUMMYFUNCTION("""COMPUTED_VALUE"""),"07Х16Н6 (ЭП288)")</f>
        <v>07Х16Н6 (ЭП288)</v>
      </c>
      <c r="D84" s="131">
        <f ca="1">IFERROR(__xludf.DUMMYFUNCTION("""COMPUTED_VALUE"""),32)</f>
        <v>32</v>
      </c>
      <c r="E84" s="131"/>
      <c r="F84" s="132" t="str">
        <f ca="1">IFERROR(__xludf.DUMMYFUNCTION("""COMPUTED_VALUE"""),"ту 14-1-205, НД, АТП, УзК")</f>
        <v>ту 14-1-205, НД, АТП, УзК</v>
      </c>
      <c r="G84" s="133">
        <f ca="1">IFERROR(__xludf.DUMMYFUNCTION("""COMPUTED_VALUE"""),1.236)</f>
        <v>1.236</v>
      </c>
      <c r="H84" s="133"/>
      <c r="I84" s="134">
        <f ca="1">IFERROR(__xludf.DUMMYFUNCTION("""COMPUTED_VALUE"""),760000)</f>
        <v>760000</v>
      </c>
    </row>
    <row r="85" spans="2:9" x14ac:dyDescent="0.3">
      <c r="B85" s="130" t="str">
        <f ca="1">IFERROR(__xludf.DUMMYFUNCTION("""COMPUTED_VALUE"""),"круг")</f>
        <v>круг</v>
      </c>
      <c r="C85" s="125" t="str">
        <f ca="1">IFERROR(__xludf.DUMMYFUNCTION("""COMPUTED_VALUE"""),"07Х16Н6 (ЭП288)")</f>
        <v>07Х16Н6 (ЭП288)</v>
      </c>
      <c r="D85" s="131">
        <f ca="1">IFERROR(__xludf.DUMMYFUNCTION("""COMPUTED_VALUE"""),36)</f>
        <v>36</v>
      </c>
      <c r="E85" s="131"/>
      <c r="F85" s="132" t="str">
        <f ca="1">IFERROR(__xludf.DUMMYFUNCTION("""COMPUTED_VALUE"""),"ту 14-1-205, НД, АТП, УзК")</f>
        <v>ту 14-1-205, НД, АТП, УзК</v>
      </c>
      <c r="G85" s="133">
        <f ca="1">IFERROR(__xludf.DUMMYFUNCTION("""COMPUTED_VALUE"""),0.86)</f>
        <v>0.86</v>
      </c>
      <c r="H85" s="133"/>
      <c r="I85" s="134">
        <f ca="1">IFERROR(__xludf.DUMMYFUNCTION("""COMPUTED_VALUE"""),750000)</f>
        <v>750000</v>
      </c>
    </row>
    <row r="86" spans="2:9" x14ac:dyDescent="0.3">
      <c r="B86" s="130" t="str">
        <f ca="1">IFERROR(__xludf.DUMMYFUNCTION("""COMPUTED_VALUE"""),"круг")</f>
        <v>круг</v>
      </c>
      <c r="C86" s="125" t="str">
        <f ca="1">IFERROR(__xludf.DUMMYFUNCTION("""COMPUTED_VALUE"""),"07Х16Н6 (ЭП288)")</f>
        <v>07Х16Н6 (ЭП288)</v>
      </c>
      <c r="D86" s="131">
        <f ca="1">IFERROR(__xludf.DUMMYFUNCTION("""COMPUTED_VALUE"""),38)</f>
        <v>38</v>
      </c>
      <c r="E86" s="131"/>
      <c r="F86" s="132" t="str">
        <f ca="1">IFERROR(__xludf.DUMMYFUNCTION("""COMPUTED_VALUE"""),"ту 14-1-205, НД, АТП, УзК")</f>
        <v>ту 14-1-205, НД, АТП, УзК</v>
      </c>
      <c r="G86" s="133">
        <f ca="1">IFERROR(__xludf.DUMMYFUNCTION("""COMPUTED_VALUE"""),0.158999999999999)</f>
        <v>0.158999999999999</v>
      </c>
      <c r="H86" s="133"/>
      <c r="I86" s="134">
        <f ca="1">IFERROR(__xludf.DUMMYFUNCTION("""COMPUTED_VALUE"""),760000)</f>
        <v>760000</v>
      </c>
    </row>
    <row r="87" spans="2:9" x14ac:dyDescent="0.3">
      <c r="B87" s="130" t="str">
        <f ca="1">IFERROR(__xludf.DUMMYFUNCTION("""COMPUTED_VALUE"""),"круг")</f>
        <v>круг</v>
      </c>
      <c r="C87" s="125" t="str">
        <f ca="1">IFERROR(__xludf.DUMMYFUNCTION("""COMPUTED_VALUE"""),"07Х16Н6 (ЭП288)")</f>
        <v>07Х16Н6 (ЭП288)</v>
      </c>
      <c r="D87" s="131">
        <f ca="1">IFERROR(__xludf.DUMMYFUNCTION("""COMPUTED_VALUE"""),38)</f>
        <v>38</v>
      </c>
      <c r="E87" s="131"/>
      <c r="F87" s="132" t="str">
        <f ca="1">IFERROR(__xludf.DUMMYFUNCTION("""COMPUTED_VALUE"""),"ту 14-1-205, НД, АТП, УзК")</f>
        <v>ту 14-1-205, НД, АТП, УзК</v>
      </c>
      <c r="G87" s="133">
        <f ca="1">IFERROR(__xludf.DUMMYFUNCTION("""COMPUTED_VALUE"""),0.192)</f>
        <v>0.192</v>
      </c>
      <c r="H87" s="133"/>
      <c r="I87" s="134">
        <f ca="1">IFERROR(__xludf.DUMMYFUNCTION("""COMPUTED_VALUE"""),760000)</f>
        <v>760000</v>
      </c>
    </row>
    <row r="88" spans="2:9" x14ac:dyDescent="0.3">
      <c r="B88" s="130" t="str">
        <f ca="1">IFERROR(__xludf.DUMMYFUNCTION("""COMPUTED_VALUE"""),"круг")</f>
        <v>круг</v>
      </c>
      <c r="C88" s="125" t="str">
        <f ca="1">IFERROR(__xludf.DUMMYFUNCTION("""COMPUTED_VALUE"""),"07Х16Н6 (ЭП288)")</f>
        <v>07Х16Н6 (ЭП288)</v>
      </c>
      <c r="D88" s="131">
        <f ca="1">IFERROR(__xludf.DUMMYFUNCTION("""COMPUTED_VALUE"""),38)</f>
        <v>38</v>
      </c>
      <c r="E88" s="131"/>
      <c r="F88" s="132" t="str">
        <f ca="1">IFERROR(__xludf.DUMMYFUNCTION("""COMPUTED_VALUE"""),"ту 14-1-205, НД, АТП, УзК ")</f>
        <v xml:space="preserve">ту 14-1-205, НД, АТП, УзК </v>
      </c>
      <c r="G88" s="133">
        <f ca="1">IFERROR(__xludf.DUMMYFUNCTION("""COMPUTED_VALUE"""),0.288)</f>
        <v>0.28799999999999998</v>
      </c>
      <c r="H88" s="133"/>
      <c r="I88" s="134">
        <f ca="1">IFERROR(__xludf.DUMMYFUNCTION("""COMPUTED_VALUE"""),760000)</f>
        <v>760000</v>
      </c>
    </row>
    <row r="89" spans="2:9" x14ac:dyDescent="0.3">
      <c r="B89" s="130" t="str">
        <f ca="1">IFERROR(__xludf.DUMMYFUNCTION("""COMPUTED_VALUE"""),"круг")</f>
        <v>круг</v>
      </c>
      <c r="C89" s="125" t="str">
        <f ca="1">IFERROR(__xludf.DUMMYFUNCTION("""COMPUTED_VALUE"""),"07Х16Н6 (ЭП288)")</f>
        <v>07Х16Н6 (ЭП288)</v>
      </c>
      <c r="D89" s="131">
        <f ca="1">IFERROR(__xludf.DUMMYFUNCTION("""COMPUTED_VALUE"""),38)</f>
        <v>38</v>
      </c>
      <c r="E89" s="131"/>
      <c r="F89" s="132" t="str">
        <f ca="1">IFERROR(__xludf.DUMMYFUNCTION("""COMPUTED_VALUE"""),"ту 14-1-205, НД, АТП, УзК  ")</f>
        <v xml:space="preserve">ту 14-1-205, НД, АТП, УзК  </v>
      </c>
      <c r="G89" s="133">
        <f ca="1">IFERROR(__xludf.DUMMYFUNCTION("""COMPUTED_VALUE"""),0.43)</f>
        <v>0.43</v>
      </c>
      <c r="H89" s="133"/>
      <c r="I89" s="134">
        <f ca="1">IFERROR(__xludf.DUMMYFUNCTION("""COMPUTED_VALUE"""),760000)</f>
        <v>760000</v>
      </c>
    </row>
    <row r="90" spans="2:9" x14ac:dyDescent="0.3">
      <c r="B90" s="130" t="str">
        <f ca="1">IFERROR(__xludf.DUMMYFUNCTION("""COMPUTED_VALUE"""),"круг")</f>
        <v>круг</v>
      </c>
      <c r="C90" s="125" t="str">
        <f ca="1">IFERROR(__xludf.DUMMYFUNCTION("""COMPUTED_VALUE"""),"07Х16Н6 (ЭП288)")</f>
        <v>07Х16Н6 (ЭП288)</v>
      </c>
      <c r="D90" s="131">
        <f ca="1">IFERROR(__xludf.DUMMYFUNCTION("""COMPUTED_VALUE"""),38)</f>
        <v>38</v>
      </c>
      <c r="E90" s="131"/>
      <c r="F90" s="132" t="str">
        <f ca="1">IFERROR(__xludf.DUMMYFUNCTION("""COMPUTED_VALUE"""),"ту 14-1-205, НД, АТП, УзК")</f>
        <v>ту 14-1-205, НД, АТП, УзК</v>
      </c>
      <c r="G90" s="133">
        <f ca="1">IFERROR(__xludf.DUMMYFUNCTION("""COMPUTED_VALUE"""),0.08)</f>
        <v>0.08</v>
      </c>
      <c r="H90" s="133"/>
      <c r="I90" s="134">
        <f ca="1">IFERROR(__xludf.DUMMYFUNCTION("""COMPUTED_VALUE"""),760000)</f>
        <v>760000</v>
      </c>
    </row>
    <row r="91" spans="2:9" x14ac:dyDescent="0.3">
      <c r="B91" s="130" t="str">
        <f ca="1">IFERROR(__xludf.DUMMYFUNCTION("""COMPUTED_VALUE"""),"круг")</f>
        <v>круг</v>
      </c>
      <c r="C91" s="125" t="str">
        <f ca="1">IFERROR(__xludf.DUMMYFUNCTION("""COMPUTED_VALUE"""),"07Х16Н6 (ЭП288)")</f>
        <v>07Х16Н6 (ЭП288)</v>
      </c>
      <c r="D91" s="131">
        <f ca="1">IFERROR(__xludf.DUMMYFUNCTION("""COMPUTED_VALUE"""),38)</f>
        <v>38</v>
      </c>
      <c r="E91" s="131"/>
      <c r="F91" s="132" t="str">
        <f ca="1">IFERROR(__xludf.DUMMYFUNCTION("""COMPUTED_VALUE"""),"ту 14-1-205, НД, АТП, УзК")</f>
        <v>ту 14-1-205, НД, АТП, УзК</v>
      </c>
      <c r="G91" s="133">
        <f ca="1">IFERROR(__xludf.DUMMYFUNCTION("""COMPUTED_VALUE"""),0.206)</f>
        <v>0.20599999999999999</v>
      </c>
      <c r="H91" s="133"/>
      <c r="I91" s="134">
        <f ca="1">IFERROR(__xludf.DUMMYFUNCTION("""COMPUTED_VALUE"""),760000)</f>
        <v>760000</v>
      </c>
    </row>
    <row r="92" spans="2:9" x14ac:dyDescent="0.3">
      <c r="B92" s="130" t="str">
        <f ca="1">IFERROR(__xludf.DUMMYFUNCTION("""COMPUTED_VALUE"""),"круг")</f>
        <v>круг</v>
      </c>
      <c r="C92" s="125" t="str">
        <f ca="1">IFERROR(__xludf.DUMMYFUNCTION("""COMPUTED_VALUE"""),"07Х16Н6 (ЭП288)")</f>
        <v>07Х16Н6 (ЭП288)</v>
      </c>
      <c r="D92" s="131">
        <f ca="1">IFERROR(__xludf.DUMMYFUNCTION("""COMPUTED_VALUE"""),40)</f>
        <v>40</v>
      </c>
      <c r="E92" s="131"/>
      <c r="F92" s="132" t="str">
        <f ca="1">IFERROR(__xludf.DUMMYFUNCTION("""COMPUTED_VALUE"""),"ту 14-1-205, НД, АТП, УзК")</f>
        <v>ту 14-1-205, НД, АТП, УзК</v>
      </c>
      <c r="G92" s="133">
        <f ca="1">IFERROR(__xludf.DUMMYFUNCTION("""COMPUTED_VALUE"""),0.431999999999999)</f>
        <v>0.431999999999999</v>
      </c>
      <c r="H92" s="133"/>
      <c r="I92" s="134">
        <f ca="1">IFERROR(__xludf.DUMMYFUNCTION("""COMPUTED_VALUE"""),600000)</f>
        <v>600000</v>
      </c>
    </row>
    <row r="93" spans="2:9" x14ac:dyDescent="0.3">
      <c r="B93" s="130" t="str">
        <f ca="1">IFERROR(__xludf.DUMMYFUNCTION("""COMPUTED_VALUE"""),"круг")</f>
        <v>круг</v>
      </c>
      <c r="C93" s="125" t="str">
        <f ca="1">IFERROR(__xludf.DUMMYFUNCTION("""COMPUTED_VALUE"""),"07Х16Н6 (ЭП288)")</f>
        <v>07Х16Н6 (ЭП288)</v>
      </c>
      <c r="D93" s="131">
        <f ca="1">IFERROR(__xludf.DUMMYFUNCTION("""COMPUTED_VALUE"""),40)</f>
        <v>40</v>
      </c>
      <c r="E93" s="131"/>
      <c r="F93" s="132" t="str">
        <f ca="1">IFERROR(__xludf.DUMMYFUNCTION("""COMPUTED_VALUE"""),"ту 14-1-205, НД, АТП, УзК")</f>
        <v>ту 14-1-205, НД, АТП, УзК</v>
      </c>
      <c r="G93" s="133">
        <f ca="1">IFERROR(__xludf.DUMMYFUNCTION("""COMPUTED_VALUE"""),2.022)</f>
        <v>2.0219999999999998</v>
      </c>
      <c r="H93" s="133"/>
      <c r="I93" s="134">
        <f ca="1">IFERROR(__xludf.DUMMYFUNCTION("""COMPUTED_VALUE"""),760000)</f>
        <v>760000</v>
      </c>
    </row>
    <row r="94" spans="2:9" x14ac:dyDescent="0.3">
      <c r="B94" s="130" t="str">
        <f ca="1">IFERROR(__xludf.DUMMYFUNCTION("""COMPUTED_VALUE"""),"круг")</f>
        <v>круг</v>
      </c>
      <c r="C94" s="125" t="str">
        <f ca="1">IFERROR(__xludf.DUMMYFUNCTION("""COMPUTED_VALUE"""),"07Х16Н6 (ЭП288)")</f>
        <v>07Х16Н6 (ЭП288)</v>
      </c>
      <c r="D94" s="131">
        <f ca="1">IFERROR(__xludf.DUMMYFUNCTION("""COMPUTED_VALUE"""),45)</f>
        <v>45</v>
      </c>
      <c r="E94" s="131"/>
      <c r="F94" s="132" t="str">
        <f ca="1">IFERROR(__xludf.DUMMYFUNCTION("""COMPUTED_VALUE"""),"ту 14-1-205, НД, АТП, УзК")</f>
        <v>ту 14-1-205, НД, АТП, УзК</v>
      </c>
      <c r="G94" s="133">
        <f ca="1">IFERROR(__xludf.DUMMYFUNCTION("""COMPUTED_VALUE"""),0.914)</f>
        <v>0.91400000000000003</v>
      </c>
      <c r="H94" s="133"/>
      <c r="I94" s="134">
        <f ca="1">IFERROR(__xludf.DUMMYFUNCTION("""COMPUTED_VALUE"""),750000)</f>
        <v>750000</v>
      </c>
    </row>
    <row r="95" spans="2:9" x14ac:dyDescent="0.3">
      <c r="B95" s="130" t="str">
        <f ca="1">IFERROR(__xludf.DUMMYFUNCTION("""COMPUTED_VALUE"""),"круг")</f>
        <v>круг</v>
      </c>
      <c r="C95" s="125" t="str">
        <f ca="1">IFERROR(__xludf.DUMMYFUNCTION("""COMPUTED_VALUE"""),"07Х16Н6 (ЭП288)")</f>
        <v>07Х16Н6 (ЭП288)</v>
      </c>
      <c r="D95" s="131">
        <f ca="1">IFERROR(__xludf.DUMMYFUNCTION("""COMPUTED_VALUE"""),50)</f>
        <v>50</v>
      </c>
      <c r="E95" s="131"/>
      <c r="F95" s="132" t="str">
        <f ca="1">IFERROR(__xludf.DUMMYFUNCTION("""COMPUTED_VALUE"""),"ту 14-1-205, НД, АТП, УзК")</f>
        <v>ту 14-1-205, НД, АТП, УзК</v>
      </c>
      <c r="G95" s="133">
        <f ca="1">IFERROR(__xludf.DUMMYFUNCTION("""COMPUTED_VALUE"""),1.309)</f>
        <v>1.3089999999999999</v>
      </c>
      <c r="H95" s="133"/>
      <c r="I95" s="134">
        <f ca="1">IFERROR(__xludf.DUMMYFUNCTION("""COMPUTED_VALUE"""),750000)</f>
        <v>750000</v>
      </c>
    </row>
    <row r="96" spans="2:9" x14ac:dyDescent="0.3">
      <c r="B96" s="130" t="str">
        <f ca="1">IFERROR(__xludf.DUMMYFUNCTION("""COMPUTED_VALUE"""),"круг")</f>
        <v>круг</v>
      </c>
      <c r="C96" s="125" t="str">
        <f ca="1">IFERROR(__xludf.DUMMYFUNCTION("""COMPUTED_VALUE"""),"07Х16Н6 (ЭП288)")</f>
        <v>07Х16Н6 (ЭП288)</v>
      </c>
      <c r="D96" s="131">
        <f ca="1">IFERROR(__xludf.DUMMYFUNCTION("""COMPUTED_VALUE"""),56)</f>
        <v>56</v>
      </c>
      <c r="E96" s="131"/>
      <c r="F96" s="132" t="str">
        <f ca="1">IFERROR(__xludf.DUMMYFUNCTION("""COMPUTED_VALUE"""),"ту 14-1-205, НД, АТП, УзК")</f>
        <v>ту 14-1-205, НД, АТП, УзК</v>
      </c>
      <c r="G96" s="133">
        <f ca="1">IFERROR(__xludf.DUMMYFUNCTION("""COMPUTED_VALUE"""),1.99699999999999)</f>
        <v>1.9969999999999899</v>
      </c>
      <c r="H96" s="133"/>
      <c r="I96" s="134">
        <f ca="1">IFERROR(__xludf.DUMMYFUNCTION("""COMPUTED_VALUE"""),750000)</f>
        <v>750000</v>
      </c>
    </row>
    <row r="97" spans="2:9" x14ac:dyDescent="0.3">
      <c r="B97" s="130" t="str">
        <f ca="1">IFERROR(__xludf.DUMMYFUNCTION("""COMPUTED_VALUE"""),"круг")</f>
        <v>круг</v>
      </c>
      <c r="C97" s="125" t="str">
        <f ca="1">IFERROR(__xludf.DUMMYFUNCTION("""COMPUTED_VALUE"""),"07Х16Н6 (ЭП288)")</f>
        <v>07Х16Н6 (ЭП288)</v>
      </c>
      <c r="D97" s="131">
        <f ca="1">IFERROR(__xludf.DUMMYFUNCTION("""COMPUTED_VALUE"""),60)</f>
        <v>60</v>
      </c>
      <c r="E97" s="131"/>
      <c r="F97" s="132" t="str">
        <f ca="1">IFERROR(__xludf.DUMMYFUNCTION("""COMPUTED_VALUE"""),"ту 14-1-205, НД, АТП, УзК, обт")</f>
        <v>ту 14-1-205, НД, АТП, УзК, обт</v>
      </c>
      <c r="G97" s="133">
        <f ca="1">IFERROR(__xludf.DUMMYFUNCTION("""COMPUTED_VALUE"""),0.076)</f>
        <v>7.5999999999999998E-2</v>
      </c>
      <c r="H97" s="133"/>
      <c r="I97" s="134">
        <f ca="1">IFERROR(__xludf.DUMMYFUNCTION("""COMPUTED_VALUE"""),580000)</f>
        <v>580000</v>
      </c>
    </row>
    <row r="98" spans="2:9" x14ac:dyDescent="0.3">
      <c r="B98" s="130" t="str">
        <f ca="1">IFERROR(__xludf.DUMMYFUNCTION("""COMPUTED_VALUE"""),"круг")</f>
        <v>круг</v>
      </c>
      <c r="C98" s="125" t="str">
        <f ca="1">IFERROR(__xludf.DUMMYFUNCTION("""COMPUTED_VALUE"""),"07Х16Н6 (ЭП288)")</f>
        <v>07Х16Н6 (ЭП288)</v>
      </c>
      <c r="D98" s="131">
        <f ca="1">IFERROR(__xludf.DUMMYFUNCTION("""COMPUTED_VALUE"""),60)</f>
        <v>60</v>
      </c>
      <c r="E98" s="131"/>
      <c r="F98" s="132" t="str">
        <f ca="1">IFERROR(__xludf.DUMMYFUNCTION("""COMPUTED_VALUE"""),"ту 14-1-205, НД, АТП, УзК, обт")</f>
        <v>ту 14-1-205, НД, АТП, УзК, обт</v>
      </c>
      <c r="G98" s="133">
        <f ca="1">IFERROR(__xludf.DUMMYFUNCTION("""COMPUTED_VALUE"""),0.088)</f>
        <v>8.7999999999999995E-2</v>
      </c>
      <c r="H98" s="133"/>
      <c r="I98" s="134">
        <f ca="1">IFERROR(__xludf.DUMMYFUNCTION("""COMPUTED_VALUE"""),580000)</f>
        <v>580000</v>
      </c>
    </row>
    <row r="99" spans="2:9" x14ac:dyDescent="0.3">
      <c r="B99" s="130" t="str">
        <f ca="1">IFERROR(__xludf.DUMMYFUNCTION("""COMPUTED_VALUE"""),"круг")</f>
        <v>круг</v>
      </c>
      <c r="C99" s="125" t="str">
        <f ca="1">IFERROR(__xludf.DUMMYFUNCTION("""COMPUTED_VALUE"""),"07Х16Н6 (ЭП288)")</f>
        <v>07Х16Н6 (ЭП288)</v>
      </c>
      <c r="D99" s="131">
        <f ca="1">IFERROR(__xludf.DUMMYFUNCTION("""COMPUTED_VALUE"""),60)</f>
        <v>60</v>
      </c>
      <c r="E99" s="131"/>
      <c r="F99" s="132" t="str">
        <f ca="1">IFERROR(__xludf.DUMMYFUNCTION("""COMPUTED_VALUE"""),"ту 14-1-205, НД, АТП, УзК, обт")</f>
        <v>ту 14-1-205, НД, АТП, УзК, обт</v>
      </c>
      <c r="G99" s="133">
        <f ca="1">IFERROR(__xludf.DUMMYFUNCTION("""COMPUTED_VALUE"""),1.771)</f>
        <v>1.7709999999999999</v>
      </c>
      <c r="H99" s="133"/>
      <c r="I99" s="134">
        <f ca="1">IFERROR(__xludf.DUMMYFUNCTION("""COMPUTED_VALUE"""),580000)</f>
        <v>580000</v>
      </c>
    </row>
    <row r="100" spans="2:9" x14ac:dyDescent="0.3">
      <c r="B100" s="130" t="str">
        <f ca="1">IFERROR(__xludf.DUMMYFUNCTION("""COMPUTED_VALUE"""),"круг")</f>
        <v>круг</v>
      </c>
      <c r="C100" s="125" t="str">
        <f ca="1">IFERROR(__xludf.DUMMYFUNCTION("""COMPUTED_VALUE"""),"07Х16Н6 (ЭП288)")</f>
        <v>07Х16Н6 (ЭП288)</v>
      </c>
      <c r="D100" s="131">
        <f ca="1">IFERROR(__xludf.DUMMYFUNCTION("""COMPUTED_VALUE"""),60)</f>
        <v>60</v>
      </c>
      <c r="E100" s="131"/>
      <c r="F100" s="132" t="str">
        <f ca="1">IFERROR(__xludf.DUMMYFUNCTION("""COMPUTED_VALUE"""),"ту 14-1-205, НД, АТП, УзК ")</f>
        <v xml:space="preserve">ту 14-1-205, НД, АТП, УзК </v>
      </c>
      <c r="G100" s="133">
        <f ca="1">IFERROR(__xludf.DUMMYFUNCTION("""COMPUTED_VALUE"""),0.450999999999999)</f>
        <v>0.45099999999999901</v>
      </c>
      <c r="H100" s="133"/>
      <c r="I100" s="134">
        <f ca="1">IFERROR(__xludf.DUMMYFUNCTION("""COMPUTED_VALUE"""),750000)</f>
        <v>750000</v>
      </c>
    </row>
    <row r="101" spans="2:9" x14ac:dyDescent="0.3">
      <c r="B101" s="130" t="str">
        <f ca="1">IFERROR(__xludf.DUMMYFUNCTION("""COMPUTED_VALUE"""),"круг")</f>
        <v>круг</v>
      </c>
      <c r="C101" s="125" t="str">
        <f ca="1">IFERROR(__xludf.DUMMYFUNCTION("""COMPUTED_VALUE"""),"07Х16Н6 (ЭП288)")</f>
        <v>07Х16Н6 (ЭП288)</v>
      </c>
      <c r="D101" s="131">
        <f ca="1">IFERROR(__xludf.DUMMYFUNCTION("""COMPUTED_VALUE"""),65)</f>
        <v>65</v>
      </c>
      <c r="E101" s="131"/>
      <c r="F101" s="132" t="str">
        <f ca="1">IFERROR(__xludf.DUMMYFUNCTION("""COMPUTED_VALUE"""),"ту 14-1-205, НД, АТП, УзК")</f>
        <v>ту 14-1-205, НД, АТП, УзК</v>
      </c>
      <c r="G101" s="133">
        <f ca="1">IFERROR(__xludf.DUMMYFUNCTION("""COMPUTED_VALUE"""),1.348)</f>
        <v>1.3480000000000001</v>
      </c>
      <c r="H101" s="133"/>
      <c r="I101" s="134">
        <f ca="1">IFERROR(__xludf.DUMMYFUNCTION("""COMPUTED_VALUE"""),580000)</f>
        <v>580000</v>
      </c>
    </row>
    <row r="102" spans="2:9" x14ac:dyDescent="0.3">
      <c r="B102" s="130" t="str">
        <f ca="1">IFERROR(__xludf.DUMMYFUNCTION("""COMPUTED_VALUE"""),"круг")</f>
        <v>круг</v>
      </c>
      <c r="C102" s="125" t="str">
        <f ca="1">IFERROR(__xludf.DUMMYFUNCTION("""COMPUTED_VALUE"""),"07Х16Н6 (ЭП288)")</f>
        <v>07Х16Н6 (ЭП288)</v>
      </c>
      <c r="D102" s="131">
        <f ca="1">IFERROR(__xludf.DUMMYFUNCTION("""COMPUTED_VALUE"""),65)</f>
        <v>65</v>
      </c>
      <c r="E102" s="131"/>
      <c r="F102" s="132" t="str">
        <f ca="1">IFERROR(__xludf.DUMMYFUNCTION("""COMPUTED_VALUE"""),"ту 14-1-205, НД, АТП, УзК")</f>
        <v>ту 14-1-205, НД, АТП, УзК</v>
      </c>
      <c r="G102" s="133">
        <f ca="1">IFERROR(__xludf.DUMMYFUNCTION("""COMPUTED_VALUE"""),1.479)</f>
        <v>1.4790000000000001</v>
      </c>
      <c r="H102" s="133"/>
      <c r="I102" s="134">
        <f ca="1">IFERROR(__xludf.DUMMYFUNCTION("""COMPUTED_VALUE"""),580000)</f>
        <v>580000</v>
      </c>
    </row>
    <row r="103" spans="2:9" x14ac:dyDescent="0.3">
      <c r="B103" s="130" t="str">
        <f ca="1">IFERROR(__xludf.DUMMYFUNCTION("""COMPUTED_VALUE"""),"круг")</f>
        <v>круг</v>
      </c>
      <c r="C103" s="125" t="str">
        <f ca="1">IFERROR(__xludf.DUMMYFUNCTION("""COMPUTED_VALUE"""),"07Х16Н6 (ЭП288)")</f>
        <v>07Х16Н6 (ЭП288)</v>
      </c>
      <c r="D103" s="131">
        <f ca="1">IFERROR(__xludf.DUMMYFUNCTION("""COMPUTED_VALUE"""),65)</f>
        <v>65</v>
      </c>
      <c r="E103" s="131"/>
      <c r="F103" s="132" t="str">
        <f ca="1">IFERROR(__xludf.DUMMYFUNCTION("""COMPUTED_VALUE"""),"ту 14-1-205, НД, АТП, УзК ")</f>
        <v xml:space="preserve">ту 14-1-205, НД, АТП, УзК </v>
      </c>
      <c r="G103" s="133">
        <f ca="1">IFERROR(__xludf.DUMMYFUNCTION("""COMPUTED_VALUE"""),1.277)</f>
        <v>1.2769999999999999</v>
      </c>
      <c r="H103" s="133"/>
      <c r="I103" s="134">
        <f ca="1">IFERROR(__xludf.DUMMYFUNCTION("""COMPUTED_VALUE"""),750000)</f>
        <v>750000</v>
      </c>
    </row>
    <row r="104" spans="2:9" x14ac:dyDescent="0.3">
      <c r="B104" s="130" t="str">
        <f ca="1">IFERROR(__xludf.DUMMYFUNCTION("""COMPUTED_VALUE"""),"круг")</f>
        <v>круг</v>
      </c>
      <c r="C104" s="125" t="str">
        <f ca="1">IFERROR(__xludf.DUMMYFUNCTION("""COMPUTED_VALUE"""),"07Х16Н6 (ЭП288)")</f>
        <v>07Х16Н6 (ЭП288)</v>
      </c>
      <c r="D104" s="131">
        <f ca="1">IFERROR(__xludf.DUMMYFUNCTION("""COMPUTED_VALUE"""),70)</f>
        <v>70</v>
      </c>
      <c r="E104" s="131"/>
      <c r="F104" s="132" t="str">
        <f ca="1">IFERROR(__xludf.DUMMYFUNCTION("""COMPUTED_VALUE"""),"ту 14-1-205, НД, АТП, УзК")</f>
        <v>ту 14-1-205, НД, АТП, УзК</v>
      </c>
      <c r="G104" s="133">
        <f ca="1">IFERROR(__xludf.DUMMYFUNCTION("""COMPUTED_VALUE"""),1.39)</f>
        <v>1.39</v>
      </c>
      <c r="H104" s="133"/>
      <c r="I104" s="134">
        <f ca="1">IFERROR(__xludf.DUMMYFUNCTION("""COMPUTED_VALUE"""),580000)</f>
        <v>580000</v>
      </c>
    </row>
    <row r="105" spans="2:9" x14ac:dyDescent="0.3">
      <c r="B105" s="130" t="str">
        <f ca="1">IFERROR(__xludf.DUMMYFUNCTION("""COMPUTED_VALUE"""),"круг")</f>
        <v>круг</v>
      </c>
      <c r="C105" s="125" t="str">
        <f ca="1">IFERROR(__xludf.DUMMYFUNCTION("""COMPUTED_VALUE"""),"07Х16Н6 (ЭП288)")</f>
        <v>07Х16Н6 (ЭП288)</v>
      </c>
      <c r="D105" s="131">
        <f ca="1">IFERROR(__xludf.DUMMYFUNCTION("""COMPUTED_VALUE"""),70)</f>
        <v>70</v>
      </c>
      <c r="E105" s="131"/>
      <c r="F105" s="132" t="str">
        <f ca="1">IFERROR(__xludf.DUMMYFUNCTION("""COMPUTED_VALUE"""),"ту 14-1-205, НД, АТП, УзК")</f>
        <v>ту 14-1-205, НД, АТП, УзК</v>
      </c>
      <c r="G105" s="133">
        <f ca="1">IFERROR(__xludf.DUMMYFUNCTION("""COMPUTED_VALUE"""),1.408)</f>
        <v>1.4079999999999999</v>
      </c>
      <c r="H105" s="133"/>
      <c r="I105" s="134">
        <f ca="1">IFERROR(__xludf.DUMMYFUNCTION("""COMPUTED_VALUE"""),580000)</f>
        <v>580000</v>
      </c>
    </row>
    <row r="106" spans="2:9" x14ac:dyDescent="0.3">
      <c r="B106" s="130" t="str">
        <f ca="1">IFERROR(__xludf.DUMMYFUNCTION("""COMPUTED_VALUE"""),"круг")</f>
        <v>круг</v>
      </c>
      <c r="C106" s="125" t="str">
        <f ca="1">IFERROR(__xludf.DUMMYFUNCTION("""COMPUTED_VALUE"""),"07Х16Н6 (ЭП288)")</f>
        <v>07Х16Н6 (ЭП288)</v>
      </c>
      <c r="D106" s="131">
        <f ca="1">IFERROR(__xludf.DUMMYFUNCTION("""COMPUTED_VALUE"""),70)</f>
        <v>70</v>
      </c>
      <c r="E106" s="131"/>
      <c r="F106" s="132" t="str">
        <f ca="1">IFERROR(__xludf.DUMMYFUNCTION("""COMPUTED_VALUE"""),"ту 14-1-205, НД, АТП, УзК")</f>
        <v>ту 14-1-205, НД, АТП, УзК</v>
      </c>
      <c r="G106" s="133">
        <f ca="1">IFERROR(__xludf.DUMMYFUNCTION("""COMPUTED_VALUE"""),0.746999999999999)</f>
        <v>0.746999999999999</v>
      </c>
      <c r="H106" s="133"/>
      <c r="I106" s="134">
        <f ca="1">IFERROR(__xludf.DUMMYFUNCTION("""COMPUTED_VALUE"""),750000)</f>
        <v>750000</v>
      </c>
    </row>
    <row r="107" spans="2:9" x14ac:dyDescent="0.3">
      <c r="B107" s="130" t="str">
        <f ca="1">IFERROR(__xludf.DUMMYFUNCTION("""COMPUTED_VALUE"""),"круг")</f>
        <v>круг</v>
      </c>
      <c r="C107" s="125" t="str">
        <f ca="1">IFERROR(__xludf.DUMMYFUNCTION("""COMPUTED_VALUE"""),"07Х16Н6 (ЭП288)")</f>
        <v>07Х16Н6 (ЭП288)</v>
      </c>
      <c r="D107" s="131">
        <f ca="1">IFERROR(__xludf.DUMMYFUNCTION("""COMPUTED_VALUE"""),80)</f>
        <v>80</v>
      </c>
      <c r="E107" s="131"/>
      <c r="F107" s="132" t="str">
        <f ca="1">IFERROR(__xludf.DUMMYFUNCTION("""COMPUTED_VALUE"""),"ту 14-1-205, НД, АТП, УзК")</f>
        <v>ту 14-1-205, НД, АТП, УзК</v>
      </c>
      <c r="G107" s="133">
        <f ca="1">IFERROR(__xludf.DUMMYFUNCTION("""COMPUTED_VALUE"""),0.291999999999999)</f>
        <v>0.29199999999999898</v>
      </c>
      <c r="H107" s="133"/>
      <c r="I107" s="134">
        <f ca="1">IFERROR(__xludf.DUMMYFUNCTION("""COMPUTED_VALUE"""),750000)</f>
        <v>750000</v>
      </c>
    </row>
    <row r="108" spans="2:9" x14ac:dyDescent="0.3">
      <c r="B108" s="130" t="str">
        <f ca="1">IFERROR(__xludf.DUMMYFUNCTION("""COMPUTED_VALUE"""),"круг")</f>
        <v>круг</v>
      </c>
      <c r="C108" s="125" t="str">
        <f ca="1">IFERROR(__xludf.DUMMYFUNCTION("""COMPUTED_VALUE"""),"07Х16Н6 (ЭП288)")</f>
        <v>07Х16Н6 (ЭП288)</v>
      </c>
      <c r="D108" s="131">
        <f ca="1">IFERROR(__xludf.DUMMYFUNCTION("""COMPUTED_VALUE"""),80)</f>
        <v>80</v>
      </c>
      <c r="E108" s="131"/>
      <c r="F108" s="132" t="str">
        <f ca="1">IFERROR(__xludf.DUMMYFUNCTION("""COMPUTED_VALUE"""),"ту 14-1-205, НД, АТП, УзК")</f>
        <v>ту 14-1-205, НД, АТП, УзК</v>
      </c>
      <c r="G108" s="133">
        <f ca="1">IFERROR(__xludf.DUMMYFUNCTION("""COMPUTED_VALUE"""),0.181)</f>
        <v>0.18099999999999999</v>
      </c>
      <c r="H108" s="133"/>
      <c r="I108" s="134">
        <f ca="1">IFERROR(__xludf.DUMMYFUNCTION("""COMPUTED_VALUE"""),580000)</f>
        <v>580000</v>
      </c>
    </row>
    <row r="109" spans="2:9" x14ac:dyDescent="0.3">
      <c r="B109" s="130" t="str">
        <f ca="1">IFERROR(__xludf.DUMMYFUNCTION("""COMPUTED_VALUE"""),"круг")</f>
        <v>круг</v>
      </c>
      <c r="C109" s="125" t="str">
        <f ca="1">IFERROR(__xludf.DUMMYFUNCTION("""COMPUTED_VALUE"""),"07Х16Н6 (ЭП288)")</f>
        <v>07Х16Н6 (ЭП288)</v>
      </c>
      <c r="D109" s="131">
        <f ca="1">IFERROR(__xludf.DUMMYFUNCTION("""COMPUTED_VALUE"""),80)</f>
        <v>80</v>
      </c>
      <c r="E109" s="131"/>
      <c r="F109" s="132" t="str">
        <f ca="1">IFERROR(__xludf.DUMMYFUNCTION("""COMPUTED_VALUE"""),"ту 14-1-205, НД, АТП, УзК")</f>
        <v>ту 14-1-205, НД, АТП, УзК</v>
      </c>
      <c r="G109" s="133">
        <f ca="1">IFERROR(__xludf.DUMMYFUNCTION("""COMPUTED_VALUE"""),2.941)</f>
        <v>2.9409999999999998</v>
      </c>
      <c r="H109" s="133"/>
      <c r="I109" s="134">
        <f ca="1">IFERROR(__xludf.DUMMYFUNCTION("""COMPUTED_VALUE"""),580000)</f>
        <v>580000</v>
      </c>
    </row>
    <row r="110" spans="2:9" x14ac:dyDescent="0.3">
      <c r="B110" s="130" t="str">
        <f ca="1">IFERROR(__xludf.DUMMYFUNCTION("""COMPUTED_VALUE"""),"круг")</f>
        <v>круг</v>
      </c>
      <c r="C110" s="125" t="str">
        <f ca="1">IFERROR(__xludf.DUMMYFUNCTION("""COMPUTED_VALUE"""),"07Х16Н6 (ЭП288)")</f>
        <v>07Х16Н6 (ЭП288)</v>
      </c>
      <c r="D110" s="131">
        <f ca="1">IFERROR(__xludf.DUMMYFUNCTION("""COMPUTED_VALUE"""),90)</f>
        <v>90</v>
      </c>
      <c r="E110" s="131"/>
      <c r="F110" s="132" t="str">
        <f ca="1">IFERROR(__xludf.DUMMYFUNCTION("""COMPUTED_VALUE"""),"ту 14-1-205, НД, АТП, УзК")</f>
        <v>ту 14-1-205, НД, АТП, УзК</v>
      </c>
      <c r="G110" s="133">
        <f ca="1">IFERROR(__xludf.DUMMYFUNCTION("""COMPUTED_VALUE"""),1.466)</f>
        <v>1.466</v>
      </c>
      <c r="H110" s="133"/>
      <c r="I110" s="134">
        <f ca="1">IFERROR(__xludf.DUMMYFUNCTION("""COMPUTED_VALUE"""),750000)</f>
        <v>750000</v>
      </c>
    </row>
    <row r="111" spans="2:9" x14ac:dyDescent="0.3">
      <c r="B111" s="130" t="str">
        <f ca="1">IFERROR(__xludf.DUMMYFUNCTION("""COMPUTED_VALUE"""),"круг")</f>
        <v>круг</v>
      </c>
      <c r="C111" s="125" t="str">
        <f ca="1">IFERROR(__xludf.DUMMYFUNCTION("""COMPUTED_VALUE"""),"07Х16Н6 (ЭП288)")</f>
        <v>07Х16Н6 (ЭП288)</v>
      </c>
      <c r="D111" s="131">
        <f ca="1">IFERROR(__xludf.DUMMYFUNCTION("""COMPUTED_VALUE"""),90)</f>
        <v>90</v>
      </c>
      <c r="E111" s="131"/>
      <c r="F111" s="132" t="str">
        <f ca="1">IFERROR(__xludf.DUMMYFUNCTION("""COMPUTED_VALUE"""),"ту 14-1-205, НД, АТП, УзК")</f>
        <v>ту 14-1-205, НД, АТП, УзК</v>
      </c>
      <c r="G111" s="133">
        <f ca="1">IFERROR(__xludf.DUMMYFUNCTION("""COMPUTED_VALUE"""),0.205)</f>
        <v>0.20499999999999999</v>
      </c>
      <c r="H111" s="133"/>
      <c r="I111" s="134">
        <f ca="1">IFERROR(__xludf.DUMMYFUNCTION("""COMPUTED_VALUE"""),750000)</f>
        <v>750000</v>
      </c>
    </row>
    <row r="112" spans="2:9" x14ac:dyDescent="0.3">
      <c r="B112" s="130" t="str">
        <f ca="1">IFERROR(__xludf.DUMMYFUNCTION("""COMPUTED_VALUE"""),"круг")</f>
        <v>круг</v>
      </c>
      <c r="C112" s="125" t="str">
        <f ca="1">IFERROR(__xludf.DUMMYFUNCTION("""COMPUTED_VALUE"""),"07Х16Н6 (ЭП288)")</f>
        <v>07Х16Н6 (ЭП288)</v>
      </c>
      <c r="D112" s="131">
        <f ca="1">IFERROR(__xludf.DUMMYFUNCTION("""COMPUTED_VALUE"""),95)</f>
        <v>95</v>
      </c>
      <c r="E112" s="131"/>
      <c r="F112" s="132" t="str">
        <f ca="1">IFERROR(__xludf.DUMMYFUNCTION("""COMPUTED_VALUE"""),"ту 14-1-205, НД, АТП, УзК")</f>
        <v>ту 14-1-205, НД, АТП, УзК</v>
      </c>
      <c r="G112" s="133">
        <f ca="1">IFERROR(__xludf.DUMMYFUNCTION("""COMPUTED_VALUE"""),2.147)</f>
        <v>2.1469999999999998</v>
      </c>
      <c r="H112" s="133"/>
      <c r="I112" s="134">
        <f ca="1">IFERROR(__xludf.DUMMYFUNCTION("""COMPUTED_VALUE"""),580000)</f>
        <v>580000</v>
      </c>
    </row>
    <row r="113" spans="2:9" x14ac:dyDescent="0.3">
      <c r="B113" s="130" t="str">
        <f ca="1">IFERROR(__xludf.DUMMYFUNCTION("""COMPUTED_VALUE"""),"круг")</f>
        <v>круг</v>
      </c>
      <c r="C113" s="125" t="str">
        <f ca="1">IFERROR(__xludf.DUMMYFUNCTION("""COMPUTED_VALUE"""),"07Х16Н6 (ЭП288)")</f>
        <v>07Х16Н6 (ЭП288)</v>
      </c>
      <c r="D113" s="131">
        <f ca="1">IFERROR(__xludf.DUMMYFUNCTION("""COMPUTED_VALUE"""),95)</f>
        <v>95</v>
      </c>
      <c r="E113" s="131"/>
      <c r="F113" s="132" t="str">
        <f ca="1">IFERROR(__xludf.DUMMYFUNCTION("""COMPUTED_VALUE"""),"ту 14-1-205, НД, АТП, УзК")</f>
        <v>ту 14-1-205, НД, АТП, УзК</v>
      </c>
      <c r="G113" s="133">
        <f ca="1">IFERROR(__xludf.DUMMYFUNCTION("""COMPUTED_VALUE"""),2.156)</f>
        <v>2.1560000000000001</v>
      </c>
      <c r="H113" s="133"/>
      <c r="I113" s="134">
        <f ca="1">IFERROR(__xludf.DUMMYFUNCTION("""COMPUTED_VALUE"""),580000)</f>
        <v>580000</v>
      </c>
    </row>
    <row r="114" spans="2:9" x14ac:dyDescent="0.3">
      <c r="B114" s="130" t="str">
        <f ca="1">IFERROR(__xludf.DUMMYFUNCTION("""COMPUTED_VALUE"""),"круг")</f>
        <v>круг</v>
      </c>
      <c r="C114" s="125" t="str">
        <f ca="1">IFERROR(__xludf.DUMMYFUNCTION("""COMPUTED_VALUE"""),"07Х16Н6 (ЭП288)")</f>
        <v>07Х16Н6 (ЭП288)</v>
      </c>
      <c r="D114" s="131">
        <f ca="1">IFERROR(__xludf.DUMMYFUNCTION("""COMPUTED_VALUE"""),100)</f>
        <v>100</v>
      </c>
      <c r="E114" s="131"/>
      <c r="F114" s="132" t="str">
        <f ca="1">IFERROR(__xludf.DUMMYFUNCTION("""COMPUTED_VALUE"""),"ту 14-1-205, НД, АТП, УзК")</f>
        <v>ту 14-1-205, НД, АТП, УзК</v>
      </c>
      <c r="G114" s="133">
        <f ca="1">IFERROR(__xludf.DUMMYFUNCTION("""COMPUTED_VALUE"""),0.00899999999999989)</f>
        <v>8.99999999999989E-3</v>
      </c>
      <c r="H114" s="133"/>
      <c r="I114" s="134">
        <f ca="1">IFERROR(__xludf.DUMMYFUNCTION("""COMPUTED_VALUE"""),750000)</f>
        <v>750000</v>
      </c>
    </row>
    <row r="115" spans="2:9" x14ac:dyDescent="0.3">
      <c r="B115" s="130" t="str">
        <f ca="1">IFERROR(__xludf.DUMMYFUNCTION("""COMPUTED_VALUE"""),"круг")</f>
        <v>круг</v>
      </c>
      <c r="C115" s="125" t="str">
        <f ca="1">IFERROR(__xludf.DUMMYFUNCTION("""COMPUTED_VALUE"""),"07Х16Н6 (ЭП288)")</f>
        <v>07Х16Н6 (ЭП288)</v>
      </c>
      <c r="D115" s="131">
        <f ca="1">IFERROR(__xludf.DUMMYFUNCTION("""COMPUTED_VALUE"""),100)</f>
        <v>100</v>
      </c>
      <c r="E115" s="131"/>
      <c r="F115" s="132" t="str">
        <f ca="1">IFERROR(__xludf.DUMMYFUNCTION("""COMPUTED_VALUE"""),"ту 14-1-205, НД, АТП, УзК")</f>
        <v>ту 14-1-205, НД, АТП, УзК</v>
      </c>
      <c r="G115" s="133">
        <f ca="1">IFERROR(__xludf.DUMMYFUNCTION("""COMPUTED_VALUE"""),0.465)</f>
        <v>0.46500000000000002</v>
      </c>
      <c r="H115" s="133"/>
      <c r="I115" s="134">
        <f ca="1">IFERROR(__xludf.DUMMYFUNCTION("""COMPUTED_VALUE"""),760000)</f>
        <v>760000</v>
      </c>
    </row>
    <row r="116" spans="2:9" x14ac:dyDescent="0.3">
      <c r="B116" s="130" t="str">
        <f ca="1">IFERROR(__xludf.DUMMYFUNCTION("""COMPUTED_VALUE"""),"круг")</f>
        <v>круг</v>
      </c>
      <c r="C116" s="125" t="str">
        <f ca="1">IFERROR(__xludf.DUMMYFUNCTION("""COMPUTED_VALUE"""),"07Х16Н6 (ЭП288)")</f>
        <v>07Х16Н6 (ЭП288)</v>
      </c>
      <c r="D116" s="131">
        <f ca="1">IFERROR(__xludf.DUMMYFUNCTION("""COMPUTED_VALUE"""),110)</f>
        <v>110</v>
      </c>
      <c r="E116" s="131"/>
      <c r="F116" s="132" t="str">
        <f ca="1">IFERROR(__xludf.DUMMYFUNCTION("""COMPUTED_VALUE"""),"ту 14-1-205, НД, АТП, УзК")</f>
        <v>ту 14-1-205, НД, АТП, УзК</v>
      </c>
      <c r="G116" s="133">
        <f ca="1">IFERROR(__xludf.DUMMYFUNCTION("""COMPUTED_VALUE"""),0.833)</f>
        <v>0.83299999999999996</v>
      </c>
      <c r="H116" s="133"/>
      <c r="I116" s="134">
        <f ca="1">IFERROR(__xludf.DUMMYFUNCTION("""COMPUTED_VALUE"""),750000)</f>
        <v>750000</v>
      </c>
    </row>
    <row r="117" spans="2:9" x14ac:dyDescent="0.3">
      <c r="B117" s="130" t="str">
        <f ca="1">IFERROR(__xludf.DUMMYFUNCTION("""COMPUTED_VALUE"""),"круг")</f>
        <v>круг</v>
      </c>
      <c r="C117" s="125" t="str">
        <f ca="1">IFERROR(__xludf.DUMMYFUNCTION("""COMPUTED_VALUE"""),"07Х16Н6 (ЭП288)")</f>
        <v>07Х16Н6 (ЭП288)</v>
      </c>
      <c r="D117" s="131">
        <f ca="1">IFERROR(__xludf.DUMMYFUNCTION("""COMPUTED_VALUE"""),110)</f>
        <v>110</v>
      </c>
      <c r="E117" s="131"/>
      <c r="F117" s="132" t="str">
        <f ca="1">IFERROR(__xludf.DUMMYFUNCTION("""COMPUTED_VALUE"""),"ту 14-1-205, НД, АТП, УзК")</f>
        <v>ту 14-1-205, НД, АТП, УзК</v>
      </c>
      <c r="G117" s="133">
        <f ca="1">IFERROR(__xludf.DUMMYFUNCTION("""COMPUTED_VALUE"""),1.515)</f>
        <v>1.5149999999999999</v>
      </c>
      <c r="H117" s="133"/>
      <c r="I117" s="134">
        <f ca="1">IFERROR(__xludf.DUMMYFUNCTION("""COMPUTED_VALUE"""),750000)</f>
        <v>750000</v>
      </c>
    </row>
    <row r="118" spans="2:9" x14ac:dyDescent="0.3">
      <c r="B118" s="130" t="str">
        <f ca="1">IFERROR(__xludf.DUMMYFUNCTION("""COMPUTED_VALUE"""),"круг")</f>
        <v>круг</v>
      </c>
      <c r="C118" s="125" t="str">
        <f ca="1">IFERROR(__xludf.DUMMYFUNCTION("""COMPUTED_VALUE"""),"07Х16Н6 (ЭП288)")</f>
        <v>07Х16Н6 (ЭП288)</v>
      </c>
      <c r="D118" s="131">
        <f ca="1">IFERROR(__xludf.DUMMYFUNCTION("""COMPUTED_VALUE"""),120)</f>
        <v>120</v>
      </c>
      <c r="E118" s="131"/>
      <c r="F118" s="132" t="str">
        <f ca="1">IFERROR(__xludf.DUMMYFUNCTION("""COMPUTED_VALUE"""),"ту 14-1-205, НД, АТП, УзК")</f>
        <v>ту 14-1-205, НД, АТП, УзК</v>
      </c>
      <c r="G118" s="133">
        <f ca="1">IFERROR(__xludf.DUMMYFUNCTION("""COMPUTED_VALUE"""),0.146)</f>
        <v>0.14599999999999999</v>
      </c>
      <c r="H118" s="133"/>
      <c r="I118" s="134">
        <f ca="1">IFERROR(__xludf.DUMMYFUNCTION("""COMPUTED_VALUE"""),750000)</f>
        <v>750000</v>
      </c>
    </row>
    <row r="119" spans="2:9" x14ac:dyDescent="0.3">
      <c r="B119" s="130" t="str">
        <f ca="1">IFERROR(__xludf.DUMMYFUNCTION("""COMPUTED_VALUE"""),"круг")</f>
        <v>круг</v>
      </c>
      <c r="C119" s="125" t="str">
        <f ca="1">IFERROR(__xludf.DUMMYFUNCTION("""COMPUTED_VALUE"""),"07Х16Н6 (ЭП288)")</f>
        <v>07Х16Н6 (ЭП288)</v>
      </c>
      <c r="D119" s="131">
        <f ca="1">IFERROR(__xludf.DUMMYFUNCTION("""COMPUTED_VALUE"""),120)</f>
        <v>120</v>
      </c>
      <c r="E119" s="131"/>
      <c r="F119" s="132" t="str">
        <f ca="1">IFERROR(__xludf.DUMMYFUNCTION("""COMPUTED_VALUE"""),"ту 14-1-205, НД, АТП, УзК")</f>
        <v>ту 14-1-205, НД, АТП, УзК</v>
      </c>
      <c r="G119" s="133">
        <f ca="1">IFERROR(__xludf.DUMMYFUNCTION("""COMPUTED_VALUE"""),0.875)</f>
        <v>0.875</v>
      </c>
      <c r="H119" s="133"/>
      <c r="I119" s="134">
        <f ca="1">IFERROR(__xludf.DUMMYFUNCTION("""COMPUTED_VALUE"""),750000)</f>
        <v>750000</v>
      </c>
    </row>
    <row r="120" spans="2:9" x14ac:dyDescent="0.3">
      <c r="B120" s="130" t="str">
        <f ca="1">IFERROR(__xludf.DUMMYFUNCTION("""COMPUTED_VALUE"""),"круг")</f>
        <v>круг</v>
      </c>
      <c r="C120" s="125" t="str">
        <f ca="1">IFERROR(__xludf.DUMMYFUNCTION("""COMPUTED_VALUE"""),"07Х16Н6 (ЭП288)")</f>
        <v>07Х16Н6 (ЭП288)</v>
      </c>
      <c r="D120" s="131">
        <f ca="1">IFERROR(__xludf.DUMMYFUNCTION("""COMPUTED_VALUE"""),120)</f>
        <v>120</v>
      </c>
      <c r="E120" s="131"/>
      <c r="F120" s="132" t="str">
        <f ca="1">IFERROR(__xludf.DUMMYFUNCTION("""COMPUTED_VALUE"""),"ту 14-1-205, НД, АТП, УзК")</f>
        <v>ту 14-1-205, НД, АТП, УзК</v>
      </c>
      <c r="G120" s="133">
        <f ca="1">IFERROR(__xludf.DUMMYFUNCTION("""COMPUTED_VALUE"""),0.425)</f>
        <v>0.42499999999999999</v>
      </c>
      <c r="H120" s="133"/>
      <c r="I120" s="134">
        <f ca="1">IFERROR(__xludf.DUMMYFUNCTION("""COMPUTED_VALUE"""),750000)</f>
        <v>750000</v>
      </c>
    </row>
    <row r="121" spans="2:9" x14ac:dyDescent="0.3">
      <c r="B121" s="130" t="str">
        <f ca="1">IFERROR(__xludf.DUMMYFUNCTION("""COMPUTED_VALUE"""),"круг")</f>
        <v>круг</v>
      </c>
      <c r="C121" s="125" t="str">
        <f ca="1">IFERROR(__xludf.DUMMYFUNCTION("""COMPUTED_VALUE"""),"07Х16Н6 (ЭП288)")</f>
        <v>07Х16Н6 (ЭП288)</v>
      </c>
      <c r="D121" s="131">
        <f ca="1">IFERROR(__xludf.DUMMYFUNCTION("""COMPUTED_VALUE"""),120)</f>
        <v>120</v>
      </c>
      <c r="E121" s="131"/>
      <c r="F121" s="132" t="str">
        <f ca="1">IFERROR(__xludf.DUMMYFUNCTION("""COMPUTED_VALUE"""),"ту 14-1-205, НД, АТП, УзК")</f>
        <v>ту 14-1-205, НД, АТП, УзК</v>
      </c>
      <c r="G121" s="133">
        <f ca="1">IFERROR(__xludf.DUMMYFUNCTION("""COMPUTED_VALUE"""),0.45)</f>
        <v>0.45</v>
      </c>
      <c r="H121" s="133"/>
      <c r="I121" s="134">
        <f ca="1">IFERROR(__xludf.DUMMYFUNCTION("""COMPUTED_VALUE"""),750000)</f>
        <v>750000</v>
      </c>
    </row>
    <row r="122" spans="2:9" x14ac:dyDescent="0.3">
      <c r="B122" s="130" t="str">
        <f ca="1">IFERROR(__xludf.DUMMYFUNCTION("""COMPUTED_VALUE"""),"круг")</f>
        <v>круг</v>
      </c>
      <c r="C122" s="125" t="str">
        <f ca="1">IFERROR(__xludf.DUMMYFUNCTION("""COMPUTED_VALUE"""),"07Х16Н6 (ЭП288)")</f>
        <v>07Х16Н6 (ЭП288)</v>
      </c>
      <c r="D122" s="131">
        <f ca="1">IFERROR(__xludf.DUMMYFUNCTION("""COMPUTED_VALUE"""),125)</f>
        <v>125</v>
      </c>
      <c r="E122" s="131"/>
      <c r="F122" s="132" t="str">
        <f ca="1">IFERROR(__xludf.DUMMYFUNCTION("""COMPUTED_VALUE"""),"ту 14-1-205, НД, АТП, УзК")</f>
        <v>ту 14-1-205, НД, АТП, УзК</v>
      </c>
      <c r="G122" s="133">
        <f ca="1">IFERROR(__xludf.DUMMYFUNCTION("""COMPUTED_VALUE"""),1.896)</f>
        <v>1.8959999999999999</v>
      </c>
      <c r="H122" s="133"/>
      <c r="I122" s="134">
        <f ca="1">IFERROR(__xludf.DUMMYFUNCTION("""COMPUTED_VALUE"""),600000)</f>
        <v>600000</v>
      </c>
    </row>
    <row r="123" spans="2:9" x14ac:dyDescent="0.3">
      <c r="B123" s="130" t="str">
        <f ca="1">IFERROR(__xludf.DUMMYFUNCTION("""COMPUTED_VALUE"""),"круг")</f>
        <v>круг</v>
      </c>
      <c r="C123" s="125" t="str">
        <f ca="1">IFERROR(__xludf.DUMMYFUNCTION("""COMPUTED_VALUE"""),"07Х16Н6 (ЭП288)")</f>
        <v>07Х16Н6 (ЭП288)</v>
      </c>
      <c r="D123" s="131">
        <f ca="1">IFERROR(__xludf.DUMMYFUNCTION("""COMPUTED_VALUE"""),130)</f>
        <v>130</v>
      </c>
      <c r="E123" s="131"/>
      <c r="F123" s="132" t="str">
        <f ca="1">IFERROR(__xludf.DUMMYFUNCTION("""COMPUTED_VALUE"""),"ту 14-1-205, НД, АТП, УзК")</f>
        <v>ту 14-1-205, НД, АТП, УзК</v>
      </c>
      <c r="G123" s="133">
        <f ca="1">IFERROR(__xludf.DUMMYFUNCTION("""COMPUTED_VALUE"""),2.124)</f>
        <v>2.1240000000000001</v>
      </c>
      <c r="H123" s="133"/>
      <c r="I123" s="134">
        <f ca="1">IFERROR(__xludf.DUMMYFUNCTION("""COMPUTED_VALUE"""),580000)</f>
        <v>580000</v>
      </c>
    </row>
    <row r="124" spans="2:9" x14ac:dyDescent="0.3">
      <c r="B124" s="130" t="str">
        <f ca="1">IFERROR(__xludf.DUMMYFUNCTION("""COMPUTED_VALUE"""),"круг")</f>
        <v>круг</v>
      </c>
      <c r="C124" s="125" t="str">
        <f ca="1">IFERROR(__xludf.DUMMYFUNCTION("""COMPUTED_VALUE"""),"07Х16Н6 (ЭП288)")</f>
        <v>07Х16Н6 (ЭП288)</v>
      </c>
      <c r="D124" s="131">
        <f ca="1">IFERROR(__xludf.DUMMYFUNCTION("""COMPUTED_VALUE"""),140)</f>
        <v>140</v>
      </c>
      <c r="E124" s="131"/>
      <c r="F124" s="132" t="str">
        <f ca="1">IFERROR(__xludf.DUMMYFUNCTION("""COMPUTED_VALUE"""),"ту 14-1-205, НД, АТП, УзК")</f>
        <v>ту 14-1-205, НД, АТП, УзК</v>
      </c>
      <c r="G124" s="133">
        <f ca="1">IFERROR(__xludf.DUMMYFUNCTION("""COMPUTED_VALUE"""),2.091)</f>
        <v>2.0910000000000002</v>
      </c>
      <c r="H124" s="133"/>
      <c r="I124" s="134">
        <f ca="1">IFERROR(__xludf.DUMMYFUNCTION("""COMPUTED_VALUE"""),750000)</f>
        <v>750000</v>
      </c>
    </row>
    <row r="125" spans="2:9" x14ac:dyDescent="0.3">
      <c r="B125" s="130" t="str">
        <f ca="1">IFERROR(__xludf.DUMMYFUNCTION("""COMPUTED_VALUE"""),"круг")</f>
        <v>круг</v>
      </c>
      <c r="C125" s="125" t="str">
        <f ca="1">IFERROR(__xludf.DUMMYFUNCTION("""COMPUTED_VALUE"""),"07Х16Н6 (ЭП288)")</f>
        <v>07Х16Н6 (ЭП288)</v>
      </c>
      <c r="D125" s="131">
        <f ca="1">IFERROR(__xludf.DUMMYFUNCTION("""COMPUTED_VALUE"""),150)</f>
        <v>150</v>
      </c>
      <c r="E125" s="131"/>
      <c r="F125" s="132" t="str">
        <f ca="1">IFERROR(__xludf.DUMMYFUNCTION("""COMPUTED_VALUE"""),"ту 14-1-205, НД, АТП, УзК")</f>
        <v>ту 14-1-205, НД, АТП, УзК</v>
      </c>
      <c r="G125" s="133">
        <f ca="1">IFERROR(__xludf.DUMMYFUNCTION("""COMPUTED_VALUE"""),0.267)</f>
        <v>0.26700000000000002</v>
      </c>
      <c r="H125" s="133"/>
      <c r="I125" s="134">
        <f ca="1">IFERROR(__xludf.DUMMYFUNCTION("""COMPUTED_VALUE"""),750000)</f>
        <v>750000</v>
      </c>
    </row>
    <row r="126" spans="2:9" x14ac:dyDescent="0.3">
      <c r="B126" s="130" t="str">
        <f ca="1">IFERROR(__xludf.DUMMYFUNCTION("""COMPUTED_VALUE"""),"круг")</f>
        <v>круг</v>
      </c>
      <c r="C126" s="125" t="str">
        <f ca="1">IFERROR(__xludf.DUMMYFUNCTION("""COMPUTED_VALUE"""),"07Х16Н6 (ЭП288)")</f>
        <v>07Х16Н6 (ЭП288)</v>
      </c>
      <c r="D126" s="131">
        <f ca="1">IFERROR(__xludf.DUMMYFUNCTION("""COMPUTED_VALUE"""),150)</f>
        <v>150</v>
      </c>
      <c r="E126" s="131"/>
      <c r="F126" s="132" t="str">
        <f ca="1">IFERROR(__xludf.DUMMYFUNCTION("""COMPUTED_VALUE"""),"ту 14-1-205, НД, АТП, УзК")</f>
        <v>ту 14-1-205, НД, АТП, УзК</v>
      </c>
      <c r="G126" s="133">
        <f ca="1">IFERROR(__xludf.DUMMYFUNCTION("""COMPUTED_VALUE"""),1.12)</f>
        <v>1.1200000000000001</v>
      </c>
      <c r="H126" s="133"/>
      <c r="I126" s="134">
        <f ca="1">IFERROR(__xludf.DUMMYFUNCTION("""COMPUTED_VALUE"""),600000)</f>
        <v>600000</v>
      </c>
    </row>
    <row r="127" spans="2:9" x14ac:dyDescent="0.3">
      <c r="B127" s="130" t="str">
        <f ca="1">IFERROR(__xludf.DUMMYFUNCTION("""COMPUTED_VALUE"""),"круг")</f>
        <v>круг</v>
      </c>
      <c r="C127" s="125" t="str">
        <f ca="1">IFERROR(__xludf.DUMMYFUNCTION("""COMPUTED_VALUE"""),"07Х16Н6 (ЭП288)")</f>
        <v>07Х16Н6 (ЭП288)</v>
      </c>
      <c r="D127" s="131">
        <f ca="1">IFERROR(__xludf.DUMMYFUNCTION("""COMPUTED_VALUE"""),160)</f>
        <v>160</v>
      </c>
      <c r="E127" s="131"/>
      <c r="F127" s="132" t="str">
        <f ca="1">IFERROR(__xludf.DUMMYFUNCTION("""COMPUTED_VALUE"""),"ту 14-1-205, НД, АТП, УзК")</f>
        <v>ту 14-1-205, НД, АТП, УзК</v>
      </c>
      <c r="G127" s="133">
        <f ca="1">IFERROR(__xludf.DUMMYFUNCTION("""COMPUTED_VALUE"""),2.352)</f>
        <v>2.3519999999999999</v>
      </c>
      <c r="H127" s="133"/>
      <c r="I127" s="134">
        <f ca="1">IFERROR(__xludf.DUMMYFUNCTION("""COMPUTED_VALUE"""),760000)</f>
        <v>760000</v>
      </c>
    </row>
    <row r="128" spans="2:9" x14ac:dyDescent="0.3">
      <c r="B128" s="130" t="str">
        <f ca="1">IFERROR(__xludf.DUMMYFUNCTION("""COMPUTED_VALUE"""),"круг")</f>
        <v>круг</v>
      </c>
      <c r="C128" s="125" t="str">
        <f ca="1">IFERROR(__xludf.DUMMYFUNCTION("""COMPUTED_VALUE"""),"07Х16Н6 (ЭП288)")</f>
        <v>07Х16Н6 (ЭП288)</v>
      </c>
      <c r="D128" s="131">
        <f ca="1">IFERROR(__xludf.DUMMYFUNCTION("""COMPUTED_VALUE"""),170)</f>
        <v>170</v>
      </c>
      <c r="E128" s="131"/>
      <c r="F128" s="132" t="str">
        <f ca="1">IFERROR(__xludf.DUMMYFUNCTION("""COMPUTED_VALUE"""),"ту 14-1-205, НД, АТП, УзК")</f>
        <v>ту 14-1-205, НД, АТП, УзК</v>
      </c>
      <c r="G128" s="133">
        <f ca="1">IFERROR(__xludf.DUMMYFUNCTION("""COMPUTED_VALUE"""),0.268)</f>
        <v>0.26800000000000002</v>
      </c>
      <c r="H128" s="133"/>
      <c r="I128" s="134">
        <f ca="1">IFERROR(__xludf.DUMMYFUNCTION("""COMPUTED_VALUE"""),750000)</f>
        <v>750000</v>
      </c>
    </row>
    <row r="129" spans="2:9" x14ac:dyDescent="0.3">
      <c r="B129" s="130" t="str">
        <f ca="1">IFERROR(__xludf.DUMMYFUNCTION("""COMPUTED_VALUE"""),"круг")</f>
        <v>круг</v>
      </c>
      <c r="C129" s="125" t="str">
        <f ca="1">IFERROR(__xludf.DUMMYFUNCTION("""COMPUTED_VALUE"""),"07Х16Н6 (ЭП288)")</f>
        <v>07Х16Н6 (ЭП288)</v>
      </c>
      <c r="D129" s="131">
        <f ca="1">IFERROR(__xludf.DUMMYFUNCTION("""COMPUTED_VALUE"""),170)</f>
        <v>170</v>
      </c>
      <c r="E129" s="131"/>
      <c r="F129" s="132" t="str">
        <f ca="1">IFERROR(__xludf.DUMMYFUNCTION("""COMPUTED_VALUE"""),"ту 14-1-205, НД, АТП, УзК")</f>
        <v>ту 14-1-205, НД, АТП, УзК</v>
      </c>
      <c r="G129" s="133">
        <f ca="1">IFERROR(__xludf.DUMMYFUNCTION("""COMPUTED_VALUE"""),0.885)</f>
        <v>0.88500000000000001</v>
      </c>
      <c r="H129" s="133"/>
      <c r="I129" s="134">
        <f ca="1">IFERROR(__xludf.DUMMYFUNCTION("""COMPUTED_VALUE"""),750000)</f>
        <v>750000</v>
      </c>
    </row>
    <row r="130" spans="2:9" x14ac:dyDescent="0.3">
      <c r="B130" s="130" t="str">
        <f ca="1">IFERROR(__xludf.DUMMYFUNCTION("""COMPUTED_VALUE"""),"круг")</f>
        <v>круг</v>
      </c>
      <c r="C130" s="125" t="str">
        <f ca="1">IFERROR(__xludf.DUMMYFUNCTION("""COMPUTED_VALUE"""),"07Х16Н6 (ЭП288)")</f>
        <v>07Х16Н6 (ЭП288)</v>
      </c>
      <c r="D130" s="131">
        <f ca="1">IFERROR(__xludf.DUMMYFUNCTION("""COMPUTED_VALUE"""),180)</f>
        <v>180</v>
      </c>
      <c r="E130" s="131"/>
      <c r="F130" s="132" t="str">
        <f ca="1">IFERROR(__xludf.DUMMYFUNCTION("""COMPUTED_VALUE"""),"ту 14-1-205, НД, АТП, УзК")</f>
        <v>ту 14-1-205, НД, АТП, УзК</v>
      </c>
      <c r="G130" s="133">
        <f ca="1">IFERROR(__xludf.DUMMYFUNCTION("""COMPUTED_VALUE"""),1.33599999999999)</f>
        <v>1.3359999999999901</v>
      </c>
      <c r="H130" s="133"/>
      <c r="I130" s="134">
        <f ca="1">IFERROR(__xludf.DUMMYFUNCTION("""COMPUTED_VALUE"""),750000)</f>
        <v>750000</v>
      </c>
    </row>
    <row r="131" spans="2:9" x14ac:dyDescent="0.3">
      <c r="B131" s="130" t="str">
        <f ca="1">IFERROR(__xludf.DUMMYFUNCTION("""COMPUTED_VALUE"""),"круг")</f>
        <v>круг</v>
      </c>
      <c r="C131" s="125" t="str">
        <f ca="1">IFERROR(__xludf.DUMMYFUNCTION("""COMPUTED_VALUE"""),"07Х16Н6 (ЭП288)")</f>
        <v>07Х16Н6 (ЭП288)</v>
      </c>
      <c r="D131" s="131">
        <f ca="1">IFERROR(__xludf.DUMMYFUNCTION("""COMPUTED_VALUE"""),190)</f>
        <v>190</v>
      </c>
      <c r="E131" s="131"/>
      <c r="F131" s="132" t="str">
        <f ca="1">IFERROR(__xludf.DUMMYFUNCTION("""COMPUTED_VALUE"""),"ту 14-1-205, НД, АТП, УзК")</f>
        <v>ту 14-1-205, НД, АТП, УзК</v>
      </c>
      <c r="G131" s="133">
        <f ca="1">IFERROR(__xludf.DUMMYFUNCTION("""COMPUTED_VALUE"""),0.165)</f>
        <v>0.16500000000000001</v>
      </c>
      <c r="H131" s="133"/>
      <c r="I131" s="134">
        <f ca="1">IFERROR(__xludf.DUMMYFUNCTION("""COMPUTED_VALUE"""),750000)</f>
        <v>750000</v>
      </c>
    </row>
    <row r="132" spans="2:9" x14ac:dyDescent="0.3">
      <c r="B132" s="130" t="str">
        <f ca="1">IFERROR(__xludf.DUMMYFUNCTION("""COMPUTED_VALUE"""),"круг")</f>
        <v>круг</v>
      </c>
      <c r="C132" s="125" t="str">
        <f ca="1">IFERROR(__xludf.DUMMYFUNCTION("""COMPUTED_VALUE"""),"07Х16Н6 (ЭП288)")</f>
        <v>07Х16Н6 (ЭП288)</v>
      </c>
      <c r="D132" s="131">
        <f ca="1">IFERROR(__xludf.DUMMYFUNCTION("""COMPUTED_VALUE"""),190)</f>
        <v>190</v>
      </c>
      <c r="E132" s="131"/>
      <c r="F132" s="132" t="str">
        <f ca="1">IFERROR(__xludf.DUMMYFUNCTION("""COMPUTED_VALUE"""),"ту 14-1-205, НД, АТП, УзК")</f>
        <v>ту 14-1-205, НД, АТП, УзК</v>
      </c>
      <c r="G132" s="133">
        <f ca="1">IFERROR(__xludf.DUMMYFUNCTION("""COMPUTED_VALUE"""),0.872)</f>
        <v>0.872</v>
      </c>
      <c r="H132" s="133"/>
      <c r="I132" s="134">
        <f ca="1">IFERROR(__xludf.DUMMYFUNCTION("""COMPUTED_VALUE"""),760000)</f>
        <v>760000</v>
      </c>
    </row>
    <row r="133" spans="2:9" x14ac:dyDescent="0.3">
      <c r="B133" s="130" t="str">
        <f ca="1">IFERROR(__xludf.DUMMYFUNCTION("""COMPUTED_VALUE"""),"круг")</f>
        <v>круг</v>
      </c>
      <c r="C133" s="125" t="str">
        <f ca="1">IFERROR(__xludf.DUMMYFUNCTION("""COMPUTED_VALUE"""),"07Х16Н6 (ЭП288)")</f>
        <v>07Х16Н6 (ЭП288)</v>
      </c>
      <c r="D133" s="131">
        <f ca="1">IFERROR(__xludf.DUMMYFUNCTION("""COMPUTED_VALUE"""),200)</f>
        <v>200</v>
      </c>
      <c r="E133" s="131"/>
      <c r="F133" s="132" t="str">
        <f ca="1">IFERROR(__xludf.DUMMYFUNCTION("""COMPUTED_VALUE"""),"ту 14-1-205, НД, АТП, УзК")</f>
        <v>ту 14-1-205, НД, АТП, УзК</v>
      </c>
      <c r="G133" s="133">
        <f ca="1">IFERROR(__xludf.DUMMYFUNCTION("""COMPUTED_VALUE"""),1.846)</f>
        <v>1.8460000000000001</v>
      </c>
      <c r="H133" s="133"/>
      <c r="I133" s="134">
        <f ca="1">IFERROR(__xludf.DUMMYFUNCTION("""COMPUTED_VALUE"""),750000)</f>
        <v>750000</v>
      </c>
    </row>
    <row r="134" spans="2:9" x14ac:dyDescent="0.3">
      <c r="B134" s="130" t="str">
        <f ca="1">IFERROR(__xludf.DUMMYFUNCTION("""COMPUTED_VALUE"""),"круг")</f>
        <v>круг</v>
      </c>
      <c r="C134" s="125" t="str">
        <f ca="1">IFERROR(__xludf.DUMMYFUNCTION("""COMPUTED_VALUE"""),"07Х16Н6 (ЭП288)")</f>
        <v>07Х16Н6 (ЭП288)</v>
      </c>
      <c r="D134" s="131">
        <f ca="1">IFERROR(__xludf.DUMMYFUNCTION("""COMPUTED_VALUE"""),220)</f>
        <v>220</v>
      </c>
      <c r="E134" s="131"/>
      <c r="F134" s="132" t="str">
        <f ca="1">IFERROR(__xludf.DUMMYFUNCTION("""COMPUTED_VALUE"""),"ту 14-1-205, НД, АТП, УзК, кован")</f>
        <v>ту 14-1-205, НД, АТП, УзК, кован</v>
      </c>
      <c r="G134" s="133">
        <f ca="1">IFERROR(__xludf.DUMMYFUNCTION("""COMPUTED_VALUE"""),1.5)</f>
        <v>1.5</v>
      </c>
      <c r="H134" s="133"/>
      <c r="I134" s="134">
        <f ca="1">IFERROR(__xludf.DUMMYFUNCTION("""COMPUTED_VALUE"""),900000)</f>
        <v>900000</v>
      </c>
    </row>
    <row r="135" spans="2:9" x14ac:dyDescent="0.3">
      <c r="B135" s="130" t="str">
        <f ca="1">IFERROR(__xludf.DUMMYFUNCTION("""COMPUTED_VALUE"""),"круг")</f>
        <v>круг</v>
      </c>
      <c r="C135" s="125" t="str">
        <f ca="1">IFERROR(__xludf.DUMMYFUNCTION("""COMPUTED_VALUE"""),"07Х16Н6 (ЭП288)")</f>
        <v>07Х16Н6 (ЭП288)</v>
      </c>
      <c r="D135" s="131">
        <f ca="1">IFERROR(__xludf.DUMMYFUNCTION("""COMPUTED_VALUE"""),250)</f>
        <v>250</v>
      </c>
      <c r="E135" s="131"/>
      <c r="F135" s="132" t="str">
        <f ca="1">IFERROR(__xludf.DUMMYFUNCTION("""COMPUTED_VALUE"""),"ту 14-1-205, НД, АТП, УзК, кован")</f>
        <v>ту 14-1-205, НД, АТП, УзК, кован</v>
      </c>
      <c r="G135" s="133">
        <f ca="1">IFERROR(__xludf.DUMMYFUNCTION("""COMPUTED_VALUE"""),1.5)</f>
        <v>1.5</v>
      </c>
      <c r="H135" s="133"/>
      <c r="I135" s="134">
        <f ca="1">IFERROR(__xludf.DUMMYFUNCTION("""COMPUTED_VALUE"""),900000)</f>
        <v>900000</v>
      </c>
    </row>
    <row r="136" spans="2:9" x14ac:dyDescent="0.3">
      <c r="B136" s="130" t="str">
        <f ca="1">IFERROR(__xludf.DUMMYFUNCTION("""COMPUTED_VALUE"""),"круг")</f>
        <v>круг</v>
      </c>
      <c r="C136" s="125" t="str">
        <f ca="1">IFERROR(__xludf.DUMMYFUNCTION("""COMPUTED_VALUE"""),"07Х16Н6 (ЭП288)")</f>
        <v>07Х16Н6 (ЭП288)</v>
      </c>
      <c r="D136" s="131">
        <f ca="1">IFERROR(__xludf.DUMMYFUNCTION("""COMPUTED_VALUE"""),280)</f>
        <v>280</v>
      </c>
      <c r="E136" s="131"/>
      <c r="F136" s="132" t="str">
        <f ca="1">IFERROR(__xludf.DUMMYFUNCTION("""COMPUTED_VALUE"""),"ту 14-1-205, НД, АТП, УзК, кован")</f>
        <v>ту 14-1-205, НД, АТП, УзК, кован</v>
      </c>
      <c r="G136" s="133">
        <f ca="1">IFERROR(__xludf.DUMMYFUNCTION("""COMPUTED_VALUE"""),1.5)</f>
        <v>1.5</v>
      </c>
      <c r="H136" s="133"/>
      <c r="I136" s="134">
        <f ca="1">IFERROR(__xludf.DUMMYFUNCTION("""COMPUTED_VALUE"""),900000)</f>
        <v>900000</v>
      </c>
    </row>
    <row r="137" spans="2:9" x14ac:dyDescent="0.3">
      <c r="B137" s="130" t="str">
        <f ca="1">IFERROR(__xludf.DUMMYFUNCTION("""COMPUTED_VALUE"""),"круг")</f>
        <v>круг</v>
      </c>
      <c r="C137" s="125" t="str">
        <f ca="1">IFERROR(__xludf.DUMMYFUNCTION("""COMPUTED_VALUE"""),"07Х16Н6 (ЭП288)")</f>
        <v>07Х16Н6 (ЭП288)</v>
      </c>
      <c r="D137" s="131">
        <f ca="1">IFERROR(__xludf.DUMMYFUNCTION("""COMPUTED_VALUE"""),300)</f>
        <v>300</v>
      </c>
      <c r="E137" s="131"/>
      <c r="F137" s="132" t="str">
        <f ca="1">IFERROR(__xludf.DUMMYFUNCTION("""COMPUTED_VALUE"""),"ту 14-1-205, НД, АТП, УзК, кован")</f>
        <v>ту 14-1-205, НД, АТП, УзК, кован</v>
      </c>
      <c r="G137" s="133">
        <f ca="1">IFERROR(__xludf.DUMMYFUNCTION("""COMPUTED_VALUE"""),1.5)</f>
        <v>1.5</v>
      </c>
      <c r="H137" s="133"/>
      <c r="I137" s="134">
        <f ca="1">IFERROR(__xludf.DUMMYFUNCTION("""COMPUTED_VALUE"""),900000)</f>
        <v>900000</v>
      </c>
    </row>
    <row r="138" spans="2:9" x14ac:dyDescent="0.3">
      <c r="B138" s="130" t="str">
        <f ca="1">IFERROR(__xludf.DUMMYFUNCTION("""COMPUTED_VALUE"""),"круг")</f>
        <v>круг</v>
      </c>
      <c r="C138" s="125" t="str">
        <f ca="1">IFERROR(__xludf.DUMMYFUNCTION("""COMPUTED_VALUE"""),"07Х16Н6 (ЭП288)")</f>
        <v>07Х16Н6 (ЭП288)</v>
      </c>
      <c r="D138" s="131">
        <f ca="1">IFERROR(__xludf.DUMMYFUNCTION("""COMPUTED_VALUE"""),320)</f>
        <v>320</v>
      </c>
      <c r="E138" s="131"/>
      <c r="F138" s="132" t="str">
        <f ca="1">IFERROR(__xludf.DUMMYFUNCTION("""COMPUTED_VALUE"""),"ту 14-1-205, НД, АТП, УзК, кован")</f>
        <v>ту 14-1-205, НД, АТП, УзК, кован</v>
      </c>
      <c r="G138" s="133">
        <f ca="1">IFERROR(__xludf.DUMMYFUNCTION("""COMPUTED_VALUE"""),2)</f>
        <v>2</v>
      </c>
      <c r="H138" s="133"/>
      <c r="I138" s="134">
        <f ca="1">IFERROR(__xludf.DUMMYFUNCTION("""COMPUTED_VALUE"""),900000)</f>
        <v>900000</v>
      </c>
    </row>
    <row r="139" spans="2:9" x14ac:dyDescent="0.3">
      <c r="B139" s="130" t="str">
        <f ca="1">IFERROR(__xludf.DUMMYFUNCTION("""COMPUTED_VALUE"""),"круг")</f>
        <v>круг</v>
      </c>
      <c r="C139" s="125" t="str">
        <f ca="1">IFERROR(__xludf.DUMMYFUNCTION("""COMPUTED_VALUE"""),"07Х16Н6 (ЭП288)")</f>
        <v>07Х16Н6 (ЭП288)</v>
      </c>
      <c r="D139" s="131">
        <f ca="1">IFERROR(__xludf.DUMMYFUNCTION("""COMPUTED_VALUE"""),350)</f>
        <v>350</v>
      </c>
      <c r="E139" s="131"/>
      <c r="F139" s="132" t="str">
        <f ca="1">IFERROR(__xludf.DUMMYFUNCTION("""COMPUTED_VALUE"""),"ту 14-1-205, НД, АТП, УзК, кован")</f>
        <v>ту 14-1-205, НД, АТП, УзК, кован</v>
      </c>
      <c r="G139" s="133">
        <f ca="1">IFERROR(__xludf.DUMMYFUNCTION("""COMPUTED_VALUE"""),2)</f>
        <v>2</v>
      </c>
      <c r="H139" s="133"/>
      <c r="I139" s="134">
        <f ca="1">IFERROR(__xludf.DUMMYFUNCTION("""COMPUTED_VALUE"""),900000)</f>
        <v>900000</v>
      </c>
    </row>
    <row r="140" spans="2:9" x14ac:dyDescent="0.3">
      <c r="B140" s="130" t="str">
        <f ca="1">IFERROR(__xludf.DUMMYFUNCTION("""COMPUTED_VALUE"""),"круг")</f>
        <v>круг</v>
      </c>
      <c r="C140" s="125" t="str">
        <f ca="1">IFERROR(__xludf.DUMMYFUNCTION("""COMPUTED_VALUE"""),"07Х16Н6 (ЭП288)")</f>
        <v>07Х16Н6 (ЭП288)</v>
      </c>
      <c r="D140" s="131">
        <f ca="1">IFERROR(__xludf.DUMMYFUNCTION("""COMPUTED_VALUE"""),380)</f>
        <v>380</v>
      </c>
      <c r="E140" s="131"/>
      <c r="F140" s="132" t="str">
        <f ca="1">IFERROR(__xludf.DUMMYFUNCTION("""COMPUTED_VALUE"""),"ту 14-1-205, НД, АТП, УзК, кован")</f>
        <v>ту 14-1-205, НД, АТП, УзК, кован</v>
      </c>
      <c r="G140" s="133">
        <f ca="1">IFERROR(__xludf.DUMMYFUNCTION("""COMPUTED_VALUE"""),2)</f>
        <v>2</v>
      </c>
      <c r="H140" s="133"/>
      <c r="I140" s="134">
        <f ca="1">IFERROR(__xludf.DUMMYFUNCTION("""COMPUTED_VALUE"""),900000)</f>
        <v>900000</v>
      </c>
    </row>
    <row r="141" spans="2:9" x14ac:dyDescent="0.3">
      <c r="B141" s="130" t="str">
        <f ca="1">IFERROR(__xludf.DUMMYFUNCTION("""COMPUTED_VALUE"""),"круг")</f>
        <v>круг</v>
      </c>
      <c r="C141" s="125" t="str">
        <f ca="1">IFERROR(__xludf.DUMMYFUNCTION("""COMPUTED_VALUE"""),"07Х16Н6 (ЭП288)")</f>
        <v>07Х16Н6 (ЭП288)</v>
      </c>
      <c r="D141" s="131">
        <f ca="1">IFERROR(__xludf.DUMMYFUNCTION("""COMPUTED_VALUE"""),400)</f>
        <v>400</v>
      </c>
      <c r="E141" s="131"/>
      <c r="F141" s="132" t="str">
        <f ca="1">IFERROR(__xludf.DUMMYFUNCTION("""COMPUTED_VALUE"""),"ту 14-1-205, НД, АТП, УзК, кован")</f>
        <v>ту 14-1-205, НД, АТП, УзК, кован</v>
      </c>
      <c r="G141" s="133">
        <f ca="1">IFERROR(__xludf.DUMMYFUNCTION("""COMPUTED_VALUE"""),2.5)</f>
        <v>2.5</v>
      </c>
      <c r="H141" s="133"/>
      <c r="I141" s="134">
        <f ca="1">IFERROR(__xludf.DUMMYFUNCTION("""COMPUTED_VALUE"""),900000)</f>
        <v>900000</v>
      </c>
    </row>
    <row r="142" spans="2:9" x14ac:dyDescent="0.3">
      <c r="B142" s="130" t="str">
        <f ca="1">IFERROR(__xludf.DUMMYFUNCTION("""COMPUTED_VALUE"""),"круг")</f>
        <v>круг</v>
      </c>
      <c r="C142" s="125" t="str">
        <f ca="1">IFERROR(__xludf.DUMMYFUNCTION("""COMPUTED_VALUE"""),"07Х16Н6 (ЭП288)")</f>
        <v>07Х16Н6 (ЭП288)</v>
      </c>
      <c r="D142" s="131">
        <f ca="1">IFERROR(__xludf.DUMMYFUNCTION("""COMPUTED_VALUE"""),420)</f>
        <v>420</v>
      </c>
      <c r="E142" s="131"/>
      <c r="F142" s="132" t="str">
        <f ca="1">IFERROR(__xludf.DUMMYFUNCTION("""COMPUTED_VALUE"""),"ту 14-1-205, НД, АТП, УзК, кован")</f>
        <v>ту 14-1-205, НД, АТП, УзК, кован</v>
      </c>
      <c r="G142" s="133">
        <f ca="1">IFERROR(__xludf.DUMMYFUNCTION("""COMPUTED_VALUE"""),3)</f>
        <v>3</v>
      </c>
      <c r="H142" s="133"/>
      <c r="I142" s="134">
        <f ca="1">IFERROR(__xludf.DUMMYFUNCTION("""COMPUTED_VALUE"""),900000)</f>
        <v>900000</v>
      </c>
    </row>
    <row r="143" spans="2:9" x14ac:dyDescent="0.3">
      <c r="B143" s="130" t="str">
        <f ca="1">IFERROR(__xludf.DUMMYFUNCTION("""COMPUTED_VALUE"""),"круг")</f>
        <v>круг</v>
      </c>
      <c r="C143" s="125" t="str">
        <f ca="1">IFERROR(__xludf.DUMMYFUNCTION("""COMPUTED_VALUE"""),"07Х16Н6 (ЭП288)")</f>
        <v>07Х16Н6 (ЭП288)</v>
      </c>
      <c r="D143" s="131">
        <f ca="1">IFERROR(__xludf.DUMMYFUNCTION("""COMPUTED_VALUE"""),450)</f>
        <v>450</v>
      </c>
      <c r="E143" s="131"/>
      <c r="F143" s="132" t="str">
        <f ca="1">IFERROR(__xludf.DUMMYFUNCTION("""COMPUTED_VALUE"""),"ту 14-1-205, НД, АТП, УзК, кован")</f>
        <v>ту 14-1-205, НД, АТП, УзК, кован</v>
      </c>
      <c r="G143" s="133">
        <f ca="1">IFERROR(__xludf.DUMMYFUNCTION("""COMPUTED_VALUE"""),3)</f>
        <v>3</v>
      </c>
      <c r="H143" s="133"/>
      <c r="I143" s="134">
        <f ca="1">IFERROR(__xludf.DUMMYFUNCTION("""COMPUTED_VALUE"""),900000)</f>
        <v>900000</v>
      </c>
    </row>
    <row r="144" spans="2:9" x14ac:dyDescent="0.3">
      <c r="B144" s="130" t="str">
        <f ca="1">IFERROR(__xludf.DUMMYFUNCTION("""COMPUTED_VALUE"""),"круг")</f>
        <v>круг</v>
      </c>
      <c r="C144" s="125" t="str">
        <f ca="1">IFERROR(__xludf.DUMMYFUNCTION("""COMPUTED_VALUE"""),"07Х16Н6 (ЭП288)")</f>
        <v>07Х16Н6 (ЭП288)</v>
      </c>
      <c r="D144" s="131">
        <f ca="1">IFERROR(__xludf.DUMMYFUNCTION("""COMPUTED_VALUE"""),500)</f>
        <v>500</v>
      </c>
      <c r="E144" s="131"/>
      <c r="F144" s="132" t="str">
        <f ca="1">IFERROR(__xludf.DUMMYFUNCTION("""COMPUTED_VALUE"""),"ту 14-1-205, НД, АТП, УзК, кован")</f>
        <v>ту 14-1-205, НД, АТП, УзК, кован</v>
      </c>
      <c r="G144" s="133">
        <f ca="1">IFERROR(__xludf.DUMMYFUNCTION("""COMPUTED_VALUE"""),3)</f>
        <v>3</v>
      </c>
      <c r="H144" s="133"/>
      <c r="I144" s="134">
        <f ca="1">IFERROR(__xludf.DUMMYFUNCTION("""COMPUTED_VALUE"""),900000)</f>
        <v>900000</v>
      </c>
    </row>
    <row r="145" spans="2:9" x14ac:dyDescent="0.3">
      <c r="B145" s="130" t="str">
        <f ca="1">IFERROR(__xludf.DUMMYFUNCTION("""COMPUTED_VALUE"""),"круг")</f>
        <v>круг</v>
      </c>
      <c r="C145" s="125" t="str">
        <f ca="1">IFERROR(__xludf.DUMMYFUNCTION("""COMPUTED_VALUE"""),"07х16н4Б")</f>
        <v>07х16н4Б</v>
      </c>
      <c r="D145" s="131">
        <f ca="1">IFERROR(__xludf.DUMMYFUNCTION("""COMPUTED_VALUE"""),10)</f>
        <v>10</v>
      </c>
      <c r="E145" s="131"/>
      <c r="F145" s="132" t="str">
        <f ca="1">IFERROR(__xludf.DUMMYFUNCTION("""COMPUTED_VALUE"""),"ту 14-1-3573-83, 2гп ")</f>
        <v xml:space="preserve">ту 14-1-3573-83, 2гп </v>
      </c>
      <c r="G145" s="133">
        <f ca="1">IFERROR(__xludf.DUMMYFUNCTION("""COMPUTED_VALUE"""),0.479)</f>
        <v>0.47899999999999998</v>
      </c>
      <c r="H145" s="133"/>
      <c r="I145" s="134">
        <f ca="1">IFERROR(__xludf.DUMMYFUNCTION("""COMPUTED_VALUE"""),900000)</f>
        <v>900000</v>
      </c>
    </row>
    <row r="146" spans="2:9" x14ac:dyDescent="0.3">
      <c r="B146" s="130" t="str">
        <f ca="1">IFERROR(__xludf.DUMMYFUNCTION("""COMPUTED_VALUE"""),"круг")</f>
        <v>круг</v>
      </c>
      <c r="C146" s="125" t="str">
        <f ca="1">IFERROR(__xludf.DUMMYFUNCTION("""COMPUTED_VALUE"""),"07х16н4Б")</f>
        <v>07х16н4Б</v>
      </c>
      <c r="D146" s="131">
        <f ca="1">IFERROR(__xludf.DUMMYFUNCTION("""COMPUTED_VALUE"""),10)</f>
        <v>10</v>
      </c>
      <c r="E146" s="131"/>
      <c r="F146" s="132" t="str">
        <f ca="1">IFERROR(__xludf.DUMMYFUNCTION("""COMPUTED_VALUE"""),"ту 14-1-3573-83, 2гп ")</f>
        <v xml:space="preserve">ту 14-1-3573-83, 2гп </v>
      </c>
      <c r="G146" s="133">
        <f ca="1">IFERROR(__xludf.DUMMYFUNCTION("""COMPUTED_VALUE"""),0.326)</f>
        <v>0.32600000000000001</v>
      </c>
      <c r="H146" s="133"/>
      <c r="I146" s="134">
        <f ca="1">IFERROR(__xludf.DUMMYFUNCTION("""COMPUTED_VALUE"""),900000)</f>
        <v>900000</v>
      </c>
    </row>
    <row r="147" spans="2:9" x14ac:dyDescent="0.3">
      <c r="B147" s="130" t="str">
        <f ca="1">IFERROR(__xludf.DUMMYFUNCTION("""COMPUTED_VALUE"""),"круг")</f>
        <v>круг</v>
      </c>
      <c r="C147" s="125" t="str">
        <f ca="1">IFERROR(__xludf.DUMMYFUNCTION("""COMPUTED_VALUE"""),"07х16н4Б")</f>
        <v>07х16н4Б</v>
      </c>
      <c r="D147" s="131">
        <f ca="1">IFERROR(__xludf.DUMMYFUNCTION("""COMPUTED_VALUE"""),10)</f>
        <v>10</v>
      </c>
      <c r="E147" s="131"/>
      <c r="F147" s="132" t="str">
        <f ca="1">IFERROR(__xludf.DUMMYFUNCTION("""COMPUTED_VALUE"""),"ту 14-1-3573-83, 2гп ")</f>
        <v xml:space="preserve">ту 14-1-3573-83, 2гп </v>
      </c>
      <c r="G147" s="133">
        <f ca="1">IFERROR(__xludf.DUMMYFUNCTION("""COMPUTED_VALUE"""),0.178)</f>
        <v>0.17799999999999999</v>
      </c>
      <c r="H147" s="133"/>
      <c r="I147" s="134">
        <f ca="1">IFERROR(__xludf.DUMMYFUNCTION("""COMPUTED_VALUE"""),900000)</f>
        <v>900000</v>
      </c>
    </row>
    <row r="148" spans="2:9" x14ac:dyDescent="0.3">
      <c r="B148" s="130" t="str">
        <f ca="1">IFERROR(__xludf.DUMMYFUNCTION("""COMPUTED_VALUE"""),"круг")</f>
        <v>круг</v>
      </c>
      <c r="C148" s="125" t="str">
        <f ca="1">IFERROR(__xludf.DUMMYFUNCTION("""COMPUTED_VALUE"""),"07х16н4Б")</f>
        <v>07х16н4Б</v>
      </c>
      <c r="D148" s="131">
        <f ca="1">IFERROR(__xludf.DUMMYFUNCTION("""COMPUTED_VALUE"""),15)</f>
        <v>15</v>
      </c>
      <c r="E148" s="131"/>
      <c r="F148" s="132" t="str">
        <f ca="1">IFERROR(__xludf.DUMMYFUNCTION("""COMPUTED_VALUE"""),"ту 14-1-3573-83, 3гп РТТ")</f>
        <v>ту 14-1-3573-83, 3гп РТТ</v>
      </c>
      <c r="G148" s="133">
        <f ca="1">IFERROR(__xludf.DUMMYFUNCTION("""COMPUTED_VALUE"""),0.495)</f>
        <v>0.495</v>
      </c>
      <c r="H148" s="133"/>
      <c r="I148" s="134">
        <f ca="1">IFERROR(__xludf.DUMMYFUNCTION("""COMPUTED_VALUE"""),900000)</f>
        <v>900000</v>
      </c>
    </row>
    <row r="149" spans="2:9" x14ac:dyDescent="0.3">
      <c r="B149" s="130" t="str">
        <f ca="1">IFERROR(__xludf.DUMMYFUNCTION("""COMPUTED_VALUE"""),"круг")</f>
        <v>круг</v>
      </c>
      <c r="C149" s="125" t="str">
        <f ca="1">IFERROR(__xludf.DUMMYFUNCTION("""COMPUTED_VALUE"""),"07х16н4Б")</f>
        <v>07х16н4Б</v>
      </c>
      <c r="D149" s="131">
        <f ca="1">IFERROR(__xludf.DUMMYFUNCTION("""COMPUTED_VALUE"""),18)</f>
        <v>18</v>
      </c>
      <c r="E149" s="131"/>
      <c r="F149" s="132" t="str">
        <f ca="1">IFERROR(__xludf.DUMMYFUNCTION("""COMPUTED_VALUE"""),"ту 14-1-3573-83, 2гп РТТ")</f>
        <v>ту 14-1-3573-83, 2гп РТТ</v>
      </c>
      <c r="G149" s="133">
        <f ca="1">IFERROR(__xludf.DUMMYFUNCTION("""COMPUTED_VALUE"""),0.254)</f>
        <v>0.254</v>
      </c>
      <c r="H149" s="133"/>
      <c r="I149" s="134">
        <f ca="1">IFERROR(__xludf.DUMMYFUNCTION("""COMPUTED_VALUE"""),900000)</f>
        <v>900000</v>
      </c>
    </row>
    <row r="150" spans="2:9" x14ac:dyDescent="0.3">
      <c r="B150" s="130" t="str">
        <f ca="1">IFERROR(__xludf.DUMMYFUNCTION("""COMPUTED_VALUE"""),"круг")</f>
        <v>круг</v>
      </c>
      <c r="C150" s="125" t="str">
        <f ca="1">IFERROR(__xludf.DUMMYFUNCTION("""COMPUTED_VALUE"""),"07х16н4Б")</f>
        <v>07х16н4Б</v>
      </c>
      <c r="D150" s="131">
        <f ca="1">IFERROR(__xludf.DUMMYFUNCTION("""COMPUTED_VALUE"""),20)</f>
        <v>20</v>
      </c>
      <c r="E150" s="131"/>
      <c r="F150" s="132" t="str">
        <f ca="1">IFERROR(__xludf.DUMMYFUNCTION("""COMPUTED_VALUE"""),"ту 14-1-3573-83, 2гп РТТ ")</f>
        <v xml:space="preserve">ту 14-1-3573-83, 2гп РТТ </v>
      </c>
      <c r="G150" s="133">
        <f ca="1">IFERROR(__xludf.DUMMYFUNCTION("""COMPUTED_VALUE"""),0.0519999999999999)</f>
        <v>5.19999999999999E-2</v>
      </c>
      <c r="H150" s="133"/>
      <c r="I150" s="134">
        <f ca="1">IFERROR(__xludf.DUMMYFUNCTION("""COMPUTED_VALUE"""),900000)</f>
        <v>900000</v>
      </c>
    </row>
    <row r="151" spans="2:9" x14ac:dyDescent="0.3">
      <c r="B151" s="130" t="str">
        <f ca="1">IFERROR(__xludf.DUMMYFUNCTION("""COMPUTED_VALUE"""),"круг")</f>
        <v>круг</v>
      </c>
      <c r="C151" s="125" t="str">
        <f ca="1">IFERROR(__xludf.DUMMYFUNCTION("""COMPUTED_VALUE"""),"07х16н4Б")</f>
        <v>07х16н4Б</v>
      </c>
      <c r="D151" s="131">
        <f ca="1">IFERROR(__xludf.DUMMYFUNCTION("""COMPUTED_VALUE"""),20)</f>
        <v>20</v>
      </c>
      <c r="E151" s="131"/>
      <c r="F151" s="132" t="str">
        <f ca="1">IFERROR(__xludf.DUMMYFUNCTION("""COMPUTED_VALUE"""),"ту 14-1-3573-83, 2гп РТТ ")</f>
        <v xml:space="preserve">ту 14-1-3573-83, 2гп РТТ </v>
      </c>
      <c r="G151" s="133">
        <f ca="1">IFERROR(__xludf.DUMMYFUNCTION("""COMPUTED_VALUE"""),0.24)</f>
        <v>0.24</v>
      </c>
      <c r="H151" s="133"/>
      <c r="I151" s="134">
        <f ca="1">IFERROR(__xludf.DUMMYFUNCTION("""COMPUTED_VALUE"""),900000)</f>
        <v>900000</v>
      </c>
    </row>
    <row r="152" spans="2:9" x14ac:dyDescent="0.3">
      <c r="B152" s="130" t="str">
        <f ca="1">IFERROR(__xludf.DUMMYFUNCTION("""COMPUTED_VALUE"""),"круг")</f>
        <v>круг</v>
      </c>
      <c r="C152" s="125" t="str">
        <f ca="1">IFERROR(__xludf.DUMMYFUNCTION("""COMPUTED_VALUE"""),"07х16н4Б")</f>
        <v>07х16н4Б</v>
      </c>
      <c r="D152" s="131">
        <f ca="1">IFERROR(__xludf.DUMMYFUNCTION("""COMPUTED_VALUE"""),20)</f>
        <v>20</v>
      </c>
      <c r="E152" s="131"/>
      <c r="F152" s="132" t="str">
        <f ca="1">IFERROR(__xludf.DUMMYFUNCTION("""COMPUTED_VALUE"""),"ту 14-1-3573-83, 2гп РТТ")</f>
        <v>ту 14-1-3573-83, 2гп РТТ</v>
      </c>
      <c r="G152" s="133">
        <f ca="1">IFERROR(__xludf.DUMMYFUNCTION("""COMPUTED_VALUE"""),0.154)</f>
        <v>0.154</v>
      </c>
      <c r="H152" s="133"/>
      <c r="I152" s="134">
        <f ca="1">IFERROR(__xludf.DUMMYFUNCTION("""COMPUTED_VALUE"""),900000)</f>
        <v>900000</v>
      </c>
    </row>
    <row r="153" spans="2:9" x14ac:dyDescent="0.3">
      <c r="B153" s="130" t="str">
        <f ca="1">IFERROR(__xludf.DUMMYFUNCTION("""COMPUTED_VALUE"""),"круг")</f>
        <v>круг</v>
      </c>
      <c r="C153" s="125" t="str">
        <f ca="1">IFERROR(__xludf.DUMMYFUNCTION("""COMPUTED_VALUE"""),"07х16н4Б")</f>
        <v>07х16н4Б</v>
      </c>
      <c r="D153" s="131">
        <f ca="1">IFERROR(__xludf.DUMMYFUNCTION("""COMPUTED_VALUE"""),20)</f>
        <v>20</v>
      </c>
      <c r="E153" s="131"/>
      <c r="F153" s="132" t="str">
        <f ca="1">IFERROR(__xludf.DUMMYFUNCTION("""COMPUTED_VALUE"""),"ту 14-1-3573-83, 2гп РТТ")</f>
        <v>ту 14-1-3573-83, 2гп РТТ</v>
      </c>
      <c r="G153" s="133">
        <f ca="1">IFERROR(__xludf.DUMMYFUNCTION("""COMPUTED_VALUE"""),0.046)</f>
        <v>4.5999999999999999E-2</v>
      </c>
      <c r="H153" s="133"/>
      <c r="I153" s="134">
        <f ca="1">IFERROR(__xludf.DUMMYFUNCTION("""COMPUTED_VALUE"""),900000)</f>
        <v>900000</v>
      </c>
    </row>
    <row r="154" spans="2:9" x14ac:dyDescent="0.3">
      <c r="B154" s="130" t="str">
        <f ca="1">IFERROR(__xludf.DUMMYFUNCTION("""COMPUTED_VALUE"""),"круг")</f>
        <v>круг</v>
      </c>
      <c r="C154" s="125" t="str">
        <f ca="1">IFERROR(__xludf.DUMMYFUNCTION("""COMPUTED_VALUE"""),"07х16н4Б")</f>
        <v>07х16н4Б</v>
      </c>
      <c r="D154" s="131">
        <f ca="1">IFERROR(__xludf.DUMMYFUNCTION("""COMPUTED_VALUE"""),20)</f>
        <v>20</v>
      </c>
      <c r="E154" s="131"/>
      <c r="F154" s="132" t="str">
        <f ca="1">IFERROR(__xludf.DUMMYFUNCTION("""COMPUTED_VALUE"""),"ту 14-1-3573-83, 2гп РТТ")</f>
        <v>ту 14-1-3573-83, 2гп РТТ</v>
      </c>
      <c r="G154" s="133">
        <f ca="1">IFERROR(__xludf.DUMMYFUNCTION("""COMPUTED_VALUE"""),0.08)</f>
        <v>0.08</v>
      </c>
      <c r="H154" s="133"/>
      <c r="I154" s="134">
        <f ca="1">IFERROR(__xludf.DUMMYFUNCTION("""COMPUTED_VALUE"""),900000)</f>
        <v>900000</v>
      </c>
    </row>
    <row r="155" spans="2:9" x14ac:dyDescent="0.3">
      <c r="B155" s="130" t="str">
        <f ca="1">IFERROR(__xludf.DUMMYFUNCTION("""COMPUTED_VALUE"""),"круг")</f>
        <v>круг</v>
      </c>
      <c r="C155" s="125" t="str">
        <f ca="1">IFERROR(__xludf.DUMMYFUNCTION("""COMPUTED_VALUE"""),"07х16н4Б")</f>
        <v>07х16н4Б</v>
      </c>
      <c r="D155" s="131">
        <f ca="1">IFERROR(__xludf.DUMMYFUNCTION("""COMPUTED_VALUE"""),20)</f>
        <v>20</v>
      </c>
      <c r="E155" s="131"/>
      <c r="F155" s="132" t="str">
        <f ca="1">IFERROR(__xludf.DUMMYFUNCTION("""COMPUTED_VALUE"""),"ту 14-1-3573-83, 2гп РТТ")</f>
        <v>ту 14-1-3573-83, 2гп РТТ</v>
      </c>
      <c r="G155" s="133">
        <f ca="1">IFERROR(__xludf.DUMMYFUNCTION("""COMPUTED_VALUE"""),0.224)</f>
        <v>0.224</v>
      </c>
      <c r="H155" s="133"/>
      <c r="I155" s="134">
        <f ca="1">IFERROR(__xludf.DUMMYFUNCTION("""COMPUTED_VALUE"""),900000)</f>
        <v>900000</v>
      </c>
    </row>
    <row r="156" spans="2:9" x14ac:dyDescent="0.3">
      <c r="B156" s="130" t="str">
        <f ca="1">IFERROR(__xludf.DUMMYFUNCTION("""COMPUTED_VALUE"""),"круг")</f>
        <v>круг</v>
      </c>
      <c r="C156" s="125" t="str">
        <f ca="1">IFERROR(__xludf.DUMMYFUNCTION("""COMPUTED_VALUE"""),"07х16н4Б")</f>
        <v>07х16н4Б</v>
      </c>
      <c r="D156" s="131">
        <f ca="1">IFERROR(__xludf.DUMMYFUNCTION("""COMPUTED_VALUE"""),20)</f>
        <v>20</v>
      </c>
      <c r="E156" s="131"/>
      <c r="F156" s="132" t="str">
        <f ca="1">IFERROR(__xludf.DUMMYFUNCTION("""COMPUTED_VALUE"""),"ту 14-1-3573-83, 2гп РТТ")</f>
        <v>ту 14-1-3573-83, 2гп РТТ</v>
      </c>
      <c r="G156" s="133">
        <f ca="1">IFERROR(__xludf.DUMMYFUNCTION("""COMPUTED_VALUE"""),0.65)</f>
        <v>0.65</v>
      </c>
      <c r="H156" s="133"/>
      <c r="I156" s="134">
        <f ca="1">IFERROR(__xludf.DUMMYFUNCTION("""COMPUTED_VALUE"""),900000)</f>
        <v>900000</v>
      </c>
    </row>
    <row r="157" spans="2:9" x14ac:dyDescent="0.3">
      <c r="B157" s="130" t="str">
        <f ca="1">IFERROR(__xludf.DUMMYFUNCTION("""COMPUTED_VALUE"""),"круг")</f>
        <v>круг</v>
      </c>
      <c r="C157" s="125" t="str">
        <f ca="1">IFERROR(__xludf.DUMMYFUNCTION("""COMPUTED_VALUE"""),"07х16н4Б")</f>
        <v>07х16н4Б</v>
      </c>
      <c r="D157" s="131">
        <f ca="1">IFERROR(__xludf.DUMMYFUNCTION("""COMPUTED_VALUE"""),25)</f>
        <v>25</v>
      </c>
      <c r="E157" s="131"/>
      <c r="F157" s="132" t="str">
        <f ca="1">IFERROR(__xludf.DUMMYFUNCTION("""COMPUTED_VALUE"""),"ту 14-1-3573-83, 2гп ")</f>
        <v xml:space="preserve">ту 14-1-3573-83, 2гп </v>
      </c>
      <c r="G157" s="133">
        <f ca="1">IFERROR(__xludf.DUMMYFUNCTION("""COMPUTED_VALUE"""),0.0779999999999998)</f>
        <v>7.7999999999999806E-2</v>
      </c>
      <c r="H157" s="133"/>
      <c r="I157" s="134">
        <f ca="1">IFERROR(__xludf.DUMMYFUNCTION("""COMPUTED_VALUE"""),900000)</f>
        <v>900000</v>
      </c>
    </row>
    <row r="158" spans="2:9" x14ac:dyDescent="0.3">
      <c r="B158" s="130" t="str">
        <f ca="1">IFERROR(__xludf.DUMMYFUNCTION("""COMPUTED_VALUE"""),"круг")</f>
        <v>круг</v>
      </c>
      <c r="C158" s="125" t="str">
        <f ca="1">IFERROR(__xludf.DUMMYFUNCTION("""COMPUTED_VALUE"""),"07х16н4Б")</f>
        <v>07х16н4Б</v>
      </c>
      <c r="D158" s="131">
        <f ca="1">IFERROR(__xludf.DUMMYFUNCTION("""COMPUTED_VALUE"""),25)</f>
        <v>25</v>
      </c>
      <c r="E158" s="131"/>
      <c r="F158" s="132" t="str">
        <f ca="1">IFERROR(__xludf.DUMMYFUNCTION("""COMPUTED_VALUE"""),"ту 14-1-3573-83, 2гп ")</f>
        <v xml:space="preserve">ту 14-1-3573-83, 2гп </v>
      </c>
      <c r="G158" s="133">
        <f ca="1">IFERROR(__xludf.DUMMYFUNCTION("""COMPUTED_VALUE"""),0.556)</f>
        <v>0.55600000000000005</v>
      </c>
      <c r="H158" s="133"/>
      <c r="I158" s="134">
        <f ca="1">IFERROR(__xludf.DUMMYFUNCTION("""COMPUTED_VALUE"""),900000)</f>
        <v>900000</v>
      </c>
    </row>
    <row r="159" spans="2:9" x14ac:dyDescent="0.3">
      <c r="B159" s="130" t="str">
        <f ca="1">IFERROR(__xludf.DUMMYFUNCTION("""COMPUTED_VALUE"""),"круг")</f>
        <v>круг</v>
      </c>
      <c r="C159" s="125" t="str">
        <f ca="1">IFERROR(__xludf.DUMMYFUNCTION("""COMPUTED_VALUE"""),"07х16н4Б")</f>
        <v>07х16н4Б</v>
      </c>
      <c r="D159" s="131">
        <f ca="1">IFERROR(__xludf.DUMMYFUNCTION("""COMPUTED_VALUE"""),30)</f>
        <v>30</v>
      </c>
      <c r="E159" s="131"/>
      <c r="F159" s="132" t="str">
        <f ca="1">IFERROR(__xludf.DUMMYFUNCTION("""COMPUTED_VALUE"""),"ту 14-1-3573-83, 2гп УЗК, контроль Со")</f>
        <v>ту 14-1-3573-83, 2гп УЗК, контроль Со</v>
      </c>
      <c r="G159" s="133">
        <f ca="1">IFERROR(__xludf.DUMMYFUNCTION("""COMPUTED_VALUE"""),0.108)</f>
        <v>0.108</v>
      </c>
      <c r="H159" s="133"/>
      <c r="I159" s="134">
        <f ca="1">IFERROR(__xludf.DUMMYFUNCTION("""COMPUTED_VALUE"""),900000)</f>
        <v>900000</v>
      </c>
    </row>
    <row r="160" spans="2:9" x14ac:dyDescent="0.3">
      <c r="B160" s="130" t="str">
        <f ca="1">IFERROR(__xludf.DUMMYFUNCTION("""COMPUTED_VALUE"""),"круг")</f>
        <v>круг</v>
      </c>
      <c r="C160" s="125" t="str">
        <f ca="1">IFERROR(__xludf.DUMMYFUNCTION("""COMPUTED_VALUE"""),"07х16н4Б-Ш")</f>
        <v>07х16н4Б-Ш</v>
      </c>
      <c r="D160" s="131">
        <f ca="1">IFERROR(__xludf.DUMMYFUNCTION("""COMPUTED_VALUE"""),30)</f>
        <v>30</v>
      </c>
      <c r="E160" s="131"/>
      <c r="F160" s="132" t="str">
        <f ca="1">IFERROR(__xludf.DUMMYFUNCTION("""COMPUTED_VALUE"""),"ту 14-1-3573-83, 2гп , УЗК РТТ")</f>
        <v>ту 14-1-3573-83, 2гп , УЗК РТТ</v>
      </c>
      <c r="G160" s="133">
        <f ca="1">IFERROR(__xludf.DUMMYFUNCTION("""COMPUTED_VALUE"""),0.131)</f>
        <v>0.13100000000000001</v>
      </c>
      <c r="H160" s="133"/>
      <c r="I160" s="134">
        <f ca="1">IFERROR(__xludf.DUMMYFUNCTION("""COMPUTED_VALUE"""),1100000)</f>
        <v>1100000</v>
      </c>
    </row>
    <row r="161" spans="2:9" x14ac:dyDescent="0.3">
      <c r="B161" s="130" t="str">
        <f ca="1">IFERROR(__xludf.DUMMYFUNCTION("""COMPUTED_VALUE"""),"круг")</f>
        <v>круг</v>
      </c>
      <c r="C161" s="125" t="str">
        <f ca="1">IFERROR(__xludf.DUMMYFUNCTION("""COMPUTED_VALUE"""),"07х16н4Б")</f>
        <v>07х16н4Б</v>
      </c>
      <c r="D161" s="131">
        <f ca="1">IFERROR(__xludf.DUMMYFUNCTION("""COMPUTED_VALUE"""),36)</f>
        <v>36</v>
      </c>
      <c r="E161" s="131"/>
      <c r="F161" s="132" t="str">
        <f ca="1">IFERROR(__xludf.DUMMYFUNCTION("""COMPUTED_VALUE"""),"ту 14-1-3573-83, 2гп ")</f>
        <v xml:space="preserve">ту 14-1-3573-83, 2гп </v>
      </c>
      <c r="G161" s="133">
        <f ca="1">IFERROR(__xludf.DUMMYFUNCTION("""COMPUTED_VALUE"""),0.0139999999999999)</f>
        <v>1.39999999999999E-2</v>
      </c>
      <c r="H161" s="133"/>
      <c r="I161" s="134">
        <f ca="1">IFERROR(__xludf.DUMMYFUNCTION("""COMPUTED_VALUE"""),870000)</f>
        <v>870000</v>
      </c>
    </row>
    <row r="162" spans="2:9" x14ac:dyDescent="0.3">
      <c r="B162" s="130" t="str">
        <f ca="1">IFERROR(__xludf.DUMMYFUNCTION("""COMPUTED_VALUE"""),"круг")</f>
        <v>круг</v>
      </c>
      <c r="C162" s="125" t="str">
        <f ca="1">IFERROR(__xludf.DUMMYFUNCTION("""COMPUTED_VALUE"""),"07х16н4Б")</f>
        <v>07х16н4Б</v>
      </c>
      <c r="D162" s="131">
        <f ca="1">IFERROR(__xludf.DUMMYFUNCTION("""COMPUTED_VALUE"""),36)</f>
        <v>36</v>
      </c>
      <c r="E162" s="131"/>
      <c r="F162" s="132" t="str">
        <f ca="1">IFERROR(__xludf.DUMMYFUNCTION("""COMPUTED_VALUE"""),"ту 14-1-3573-83, 2гп ")</f>
        <v xml:space="preserve">ту 14-1-3573-83, 2гп </v>
      </c>
      <c r="G162" s="133">
        <f ca="1">IFERROR(__xludf.DUMMYFUNCTION("""COMPUTED_VALUE"""),0.912)</f>
        <v>0.91200000000000003</v>
      </c>
      <c r="H162" s="133"/>
      <c r="I162" s="134">
        <f ca="1">IFERROR(__xludf.DUMMYFUNCTION("""COMPUTED_VALUE"""),870000)</f>
        <v>870000</v>
      </c>
    </row>
    <row r="163" spans="2:9" x14ac:dyDescent="0.3">
      <c r="B163" s="130" t="str">
        <f ca="1">IFERROR(__xludf.DUMMYFUNCTION("""COMPUTED_VALUE"""),"круг")</f>
        <v>круг</v>
      </c>
      <c r="C163" s="125" t="str">
        <f ca="1">IFERROR(__xludf.DUMMYFUNCTION("""COMPUTED_VALUE"""),"07х16н4Б")</f>
        <v>07х16н4Б</v>
      </c>
      <c r="D163" s="131">
        <f ca="1">IFERROR(__xludf.DUMMYFUNCTION("""COMPUTED_VALUE"""),36)</f>
        <v>36</v>
      </c>
      <c r="E163" s="131"/>
      <c r="F163" s="132" t="str">
        <f ca="1">IFERROR(__xludf.DUMMYFUNCTION("""COMPUTED_VALUE"""),"ту 14-1-3573-83, 2гп ")</f>
        <v xml:space="preserve">ту 14-1-3573-83, 2гп </v>
      </c>
      <c r="G163" s="133">
        <f ca="1">IFERROR(__xludf.DUMMYFUNCTION("""COMPUTED_VALUE"""),0.494)</f>
        <v>0.49399999999999999</v>
      </c>
      <c r="H163" s="133"/>
      <c r="I163" s="134">
        <f ca="1">IFERROR(__xludf.DUMMYFUNCTION("""COMPUTED_VALUE"""),870000)</f>
        <v>870000</v>
      </c>
    </row>
    <row r="164" spans="2:9" x14ac:dyDescent="0.3">
      <c r="B164" s="130" t="str">
        <f ca="1">IFERROR(__xludf.DUMMYFUNCTION("""COMPUTED_VALUE"""),"круг")</f>
        <v>круг</v>
      </c>
      <c r="C164" s="125" t="str">
        <f ca="1">IFERROR(__xludf.DUMMYFUNCTION("""COMPUTED_VALUE"""),"07х16н4Б")</f>
        <v>07х16н4Б</v>
      </c>
      <c r="D164" s="131">
        <f ca="1">IFERROR(__xludf.DUMMYFUNCTION("""COMPUTED_VALUE"""),36)</f>
        <v>36</v>
      </c>
      <c r="E164" s="131"/>
      <c r="F164" s="132" t="str">
        <f ca="1">IFERROR(__xludf.DUMMYFUNCTION("""COMPUTED_VALUE"""),"ту 14-1-3573-83, 2гп ")</f>
        <v xml:space="preserve">ту 14-1-3573-83, 2гп </v>
      </c>
      <c r="G164" s="133">
        <f ca="1">IFERROR(__xludf.DUMMYFUNCTION("""COMPUTED_VALUE"""),0.622)</f>
        <v>0.622</v>
      </c>
      <c r="H164" s="133"/>
      <c r="I164" s="134">
        <f ca="1">IFERROR(__xludf.DUMMYFUNCTION("""COMPUTED_VALUE"""),870000)</f>
        <v>870000</v>
      </c>
    </row>
    <row r="165" spans="2:9" x14ac:dyDescent="0.3">
      <c r="B165" s="130" t="str">
        <f ca="1">IFERROR(__xludf.DUMMYFUNCTION("""COMPUTED_VALUE"""),"круг")</f>
        <v>круг</v>
      </c>
      <c r="C165" s="125" t="str">
        <f ca="1">IFERROR(__xludf.DUMMYFUNCTION("""COMPUTED_VALUE"""),"07х16н4Б")</f>
        <v>07х16н4Б</v>
      </c>
      <c r="D165" s="131">
        <f ca="1">IFERROR(__xludf.DUMMYFUNCTION("""COMPUTED_VALUE"""),40)</f>
        <v>40</v>
      </c>
      <c r="E165" s="131"/>
      <c r="F165" s="132" t="str">
        <f ca="1">IFERROR(__xludf.DUMMYFUNCTION("""COMPUTED_VALUE"""),"ту 14-1-3573-83, 2гп ")</f>
        <v xml:space="preserve">ту 14-1-3573-83, 2гп </v>
      </c>
      <c r="G165" s="133">
        <f ca="1">IFERROR(__xludf.DUMMYFUNCTION("""COMPUTED_VALUE"""),0.09)</f>
        <v>0.09</v>
      </c>
      <c r="H165" s="133"/>
      <c r="I165" s="134">
        <f ca="1">IFERROR(__xludf.DUMMYFUNCTION("""COMPUTED_VALUE"""),850000)</f>
        <v>850000</v>
      </c>
    </row>
    <row r="166" spans="2:9" x14ac:dyDescent="0.3">
      <c r="B166" s="130" t="str">
        <f ca="1">IFERROR(__xludf.DUMMYFUNCTION("""COMPUTED_VALUE"""),"круг")</f>
        <v>круг</v>
      </c>
      <c r="C166" s="125" t="str">
        <f ca="1">IFERROR(__xludf.DUMMYFUNCTION("""COMPUTED_VALUE"""),"07х16н4Б")</f>
        <v>07х16н4Б</v>
      </c>
      <c r="D166" s="131">
        <f ca="1">IFERROR(__xludf.DUMMYFUNCTION("""COMPUTED_VALUE"""),45)</f>
        <v>45</v>
      </c>
      <c r="E166" s="131"/>
      <c r="F166" s="132" t="str">
        <f ca="1">IFERROR(__xludf.DUMMYFUNCTION("""COMPUTED_VALUE"""),"ту 14-1-3573-83, 2гп УЗК, контроль Со")</f>
        <v>ту 14-1-3573-83, 2гп УЗК, контроль Со</v>
      </c>
      <c r="G166" s="133">
        <f ca="1">IFERROR(__xludf.DUMMYFUNCTION("""COMPUTED_VALUE"""),0.518)</f>
        <v>0.51800000000000002</v>
      </c>
      <c r="H166" s="133"/>
      <c r="I166" s="134">
        <f ca="1">IFERROR(__xludf.DUMMYFUNCTION("""COMPUTED_VALUE"""),870000)</f>
        <v>870000</v>
      </c>
    </row>
    <row r="167" spans="2:9" x14ac:dyDescent="0.3">
      <c r="B167" s="130" t="str">
        <f ca="1">IFERROR(__xludf.DUMMYFUNCTION("""COMPUTED_VALUE"""),"круг")</f>
        <v>круг</v>
      </c>
      <c r="C167" s="125" t="str">
        <f ca="1">IFERROR(__xludf.DUMMYFUNCTION("""COMPUTED_VALUE"""),"07х16н4Б-Ш")</f>
        <v>07х16н4Б-Ш</v>
      </c>
      <c r="D167" s="131">
        <f ca="1">IFERROR(__xludf.DUMMYFUNCTION("""COMPUTED_VALUE"""),45)</f>
        <v>45</v>
      </c>
      <c r="E167" s="131"/>
      <c r="F167" s="132" t="str">
        <f ca="1">IFERROR(__xludf.DUMMYFUNCTION("""COMPUTED_VALUE"""),"ту 14-1-3573-83, УЗК РТТ")</f>
        <v>ту 14-1-3573-83, УЗК РТТ</v>
      </c>
      <c r="G167" s="133">
        <f ca="1">IFERROR(__xludf.DUMMYFUNCTION("""COMPUTED_VALUE"""),0.072)</f>
        <v>7.1999999999999995E-2</v>
      </c>
      <c r="H167" s="133"/>
      <c r="I167" s="134">
        <f ca="1">IFERROR(__xludf.DUMMYFUNCTION("""COMPUTED_VALUE"""),1100000)</f>
        <v>1100000</v>
      </c>
    </row>
    <row r="168" spans="2:9" x14ac:dyDescent="0.3">
      <c r="B168" s="130" t="str">
        <f ca="1">IFERROR(__xludf.DUMMYFUNCTION("""COMPUTED_VALUE"""),"круг")</f>
        <v>круг</v>
      </c>
      <c r="C168" s="125" t="str">
        <f ca="1">IFERROR(__xludf.DUMMYFUNCTION("""COMPUTED_VALUE"""),"07х16н4Б")</f>
        <v>07х16н4Б</v>
      </c>
      <c r="D168" s="131">
        <f ca="1">IFERROR(__xludf.DUMMYFUNCTION("""COMPUTED_VALUE"""),50)</f>
        <v>50</v>
      </c>
      <c r="E168" s="131"/>
      <c r="F168" s="132" t="str">
        <f ca="1">IFERROR(__xludf.DUMMYFUNCTION("""COMPUTED_VALUE"""),"ту 14-1-3573-83, 2гп ")</f>
        <v xml:space="preserve">ту 14-1-3573-83, 2гп </v>
      </c>
      <c r="G168" s="133">
        <f ca="1">IFERROR(__xludf.DUMMYFUNCTION("""COMPUTED_VALUE"""),0.314999999999999)</f>
        <v>0.314999999999999</v>
      </c>
      <c r="H168" s="133"/>
      <c r="I168" s="134">
        <f ca="1">IFERROR(__xludf.DUMMYFUNCTION("""COMPUTED_VALUE"""),840000)</f>
        <v>840000</v>
      </c>
    </row>
    <row r="169" spans="2:9" x14ac:dyDescent="0.3">
      <c r="B169" s="130" t="str">
        <f ca="1">IFERROR(__xludf.DUMMYFUNCTION("""COMPUTED_VALUE"""),"круг")</f>
        <v>круг</v>
      </c>
      <c r="C169" s="125" t="str">
        <f ca="1">IFERROR(__xludf.DUMMYFUNCTION("""COMPUTED_VALUE"""),"07х16н4Б")</f>
        <v>07х16н4Б</v>
      </c>
      <c r="D169" s="131">
        <f ca="1">IFERROR(__xludf.DUMMYFUNCTION("""COMPUTED_VALUE"""),56)</f>
        <v>56</v>
      </c>
      <c r="E169" s="131"/>
      <c r="F169" s="132" t="str">
        <f ca="1">IFERROR(__xludf.DUMMYFUNCTION("""COMPUTED_VALUE"""),"ту 14-1-3573-83, 2гп РТТ")</f>
        <v>ту 14-1-3573-83, 2гп РТТ</v>
      </c>
      <c r="G169" s="133">
        <f ca="1">IFERROR(__xludf.DUMMYFUNCTION("""COMPUTED_VALUE"""),0.117999999999999)</f>
        <v>0.11799999999999899</v>
      </c>
      <c r="H169" s="133"/>
      <c r="I169" s="134">
        <f ca="1">IFERROR(__xludf.DUMMYFUNCTION("""COMPUTED_VALUE"""),850000)</f>
        <v>850000</v>
      </c>
    </row>
    <row r="170" spans="2:9" x14ac:dyDescent="0.3">
      <c r="B170" s="130" t="str">
        <f ca="1">IFERROR(__xludf.DUMMYFUNCTION("""COMPUTED_VALUE"""),"круг")</f>
        <v>круг</v>
      </c>
      <c r="C170" s="125" t="str">
        <f ca="1">IFERROR(__xludf.DUMMYFUNCTION("""COMPUTED_VALUE"""),"07х16н4Б")</f>
        <v>07х16н4Б</v>
      </c>
      <c r="D170" s="131">
        <f ca="1">IFERROR(__xludf.DUMMYFUNCTION("""COMPUTED_VALUE"""),56)</f>
        <v>56</v>
      </c>
      <c r="E170" s="131"/>
      <c r="F170" s="132" t="str">
        <f ca="1">IFERROR(__xludf.DUMMYFUNCTION("""COMPUTED_VALUE"""),"ту 14-1-3573-83, 2гп РТТ")</f>
        <v>ту 14-1-3573-83, 2гп РТТ</v>
      </c>
      <c r="G170" s="133">
        <f ca="1">IFERROR(__xludf.DUMMYFUNCTION("""COMPUTED_VALUE"""),0.825)</f>
        <v>0.82499999999999996</v>
      </c>
      <c r="H170" s="133"/>
      <c r="I170" s="134">
        <f ca="1">IFERROR(__xludf.DUMMYFUNCTION("""COMPUTED_VALUE"""),850000)</f>
        <v>850000</v>
      </c>
    </row>
    <row r="171" spans="2:9" x14ac:dyDescent="0.3">
      <c r="B171" s="130" t="str">
        <f ca="1">IFERROR(__xludf.DUMMYFUNCTION("""COMPUTED_VALUE"""),"круг")</f>
        <v>круг</v>
      </c>
      <c r="C171" s="125" t="str">
        <f ca="1">IFERROR(__xludf.DUMMYFUNCTION("""COMPUTED_VALUE"""),"07х16н4Б")</f>
        <v>07х16н4Б</v>
      </c>
      <c r="D171" s="131">
        <f ca="1">IFERROR(__xludf.DUMMYFUNCTION("""COMPUTED_VALUE"""),56)</f>
        <v>56</v>
      </c>
      <c r="E171" s="131"/>
      <c r="F171" s="132" t="str">
        <f ca="1">IFERROR(__xludf.DUMMYFUNCTION("""COMPUTED_VALUE"""),"ту 14-1-3573-83, 2гп РТТ")</f>
        <v>ту 14-1-3573-83, 2гп РТТ</v>
      </c>
      <c r="G171" s="133">
        <f ca="1">IFERROR(__xludf.DUMMYFUNCTION("""COMPUTED_VALUE"""),0.585)</f>
        <v>0.58499999999999996</v>
      </c>
      <c r="H171" s="133"/>
      <c r="I171" s="134">
        <f ca="1">IFERROR(__xludf.DUMMYFUNCTION("""COMPUTED_VALUE"""),850000)</f>
        <v>850000</v>
      </c>
    </row>
    <row r="172" spans="2:9" x14ac:dyDescent="0.3">
      <c r="B172" s="130" t="str">
        <f ca="1">IFERROR(__xludf.DUMMYFUNCTION("""COMPUTED_VALUE"""),"круг")</f>
        <v>круг</v>
      </c>
      <c r="C172" s="125" t="str">
        <f ca="1">IFERROR(__xludf.DUMMYFUNCTION("""COMPUTED_VALUE"""),"07х16н4Б")</f>
        <v>07х16н4Б</v>
      </c>
      <c r="D172" s="131">
        <f ca="1">IFERROR(__xludf.DUMMYFUNCTION("""COMPUTED_VALUE"""),60)</f>
        <v>60</v>
      </c>
      <c r="E172" s="131"/>
      <c r="F172" s="132" t="str">
        <f ca="1">IFERROR(__xludf.DUMMYFUNCTION("""COMPUTED_VALUE"""),"ту 14-1-3573-83, 2гп УЗК, контроль Со")</f>
        <v>ту 14-1-3573-83, 2гп УЗК, контроль Со</v>
      </c>
      <c r="G172" s="133">
        <f ca="1">IFERROR(__xludf.DUMMYFUNCTION("""COMPUTED_VALUE"""),0.341)</f>
        <v>0.34100000000000003</v>
      </c>
      <c r="H172" s="133"/>
      <c r="I172" s="134">
        <f ca="1">IFERROR(__xludf.DUMMYFUNCTION("""COMPUTED_VALUE"""),860000)</f>
        <v>860000</v>
      </c>
    </row>
    <row r="173" spans="2:9" x14ac:dyDescent="0.3">
      <c r="B173" s="130" t="str">
        <f ca="1">IFERROR(__xludf.DUMMYFUNCTION("""COMPUTED_VALUE"""),"круг")</f>
        <v>круг</v>
      </c>
      <c r="C173" s="125" t="str">
        <f ca="1">IFERROR(__xludf.DUMMYFUNCTION("""COMPUTED_VALUE"""),"07х16н4Б")</f>
        <v>07х16н4Б</v>
      </c>
      <c r="D173" s="131">
        <f ca="1">IFERROR(__xludf.DUMMYFUNCTION("""COMPUTED_VALUE"""),60)</f>
        <v>60</v>
      </c>
      <c r="E173" s="131"/>
      <c r="F173" s="132" t="str">
        <f ca="1">IFERROR(__xludf.DUMMYFUNCTION("""COMPUTED_VALUE"""),"ту 14-1-3573-83, 2гп УЗК,")</f>
        <v>ту 14-1-3573-83, 2гп УЗК,</v>
      </c>
      <c r="G173" s="133">
        <f ca="1">IFERROR(__xludf.DUMMYFUNCTION("""COMPUTED_VALUE"""),0.095)</f>
        <v>9.5000000000000001E-2</v>
      </c>
      <c r="H173" s="133"/>
      <c r="I173" s="134">
        <f ca="1">IFERROR(__xludf.DUMMYFUNCTION("""COMPUTED_VALUE"""),860000)</f>
        <v>860000</v>
      </c>
    </row>
    <row r="174" spans="2:9" x14ac:dyDescent="0.3">
      <c r="B174" s="130" t="str">
        <f ca="1">IFERROR(__xludf.DUMMYFUNCTION("""COMPUTED_VALUE"""),"круг")</f>
        <v>круг</v>
      </c>
      <c r="C174" s="125" t="str">
        <f ca="1">IFERROR(__xludf.DUMMYFUNCTION("""COMPUTED_VALUE"""),"07х16н4Б")</f>
        <v>07х16н4Б</v>
      </c>
      <c r="D174" s="131">
        <f ca="1">IFERROR(__xludf.DUMMYFUNCTION("""COMPUTED_VALUE"""),60)</f>
        <v>60</v>
      </c>
      <c r="E174" s="131"/>
      <c r="F174" s="132" t="str">
        <f ca="1">IFERROR(__xludf.DUMMYFUNCTION("""COMPUTED_VALUE"""),"ту 14-1-3573-83, 2гп УЗК,")</f>
        <v>ту 14-1-3573-83, 2гп УЗК,</v>
      </c>
      <c r="G174" s="133">
        <f ca="1">IFERROR(__xludf.DUMMYFUNCTION("""COMPUTED_VALUE"""),0.16)</f>
        <v>0.16</v>
      </c>
      <c r="H174" s="133"/>
      <c r="I174" s="134">
        <f ca="1">IFERROR(__xludf.DUMMYFUNCTION("""COMPUTED_VALUE"""),860000)</f>
        <v>860000</v>
      </c>
    </row>
    <row r="175" spans="2:9" x14ac:dyDescent="0.3">
      <c r="B175" s="130" t="str">
        <f ca="1">IFERROR(__xludf.DUMMYFUNCTION("""COMPUTED_VALUE"""),"круг")</f>
        <v>круг</v>
      </c>
      <c r="C175" s="125" t="str">
        <f ca="1">IFERROR(__xludf.DUMMYFUNCTION("""COMPUTED_VALUE"""),"07х16н4Б")</f>
        <v>07х16н4Б</v>
      </c>
      <c r="D175" s="131">
        <f ca="1">IFERROR(__xludf.DUMMYFUNCTION("""COMPUTED_VALUE"""),65)</f>
        <v>65</v>
      </c>
      <c r="E175" s="131"/>
      <c r="F175" s="132" t="str">
        <f ca="1">IFERROR(__xludf.DUMMYFUNCTION("""COMPUTED_VALUE"""),"ту 14-1-3573-83, 2гп УЗК, контроль Со")</f>
        <v>ту 14-1-3573-83, 2гп УЗК, контроль Со</v>
      </c>
      <c r="G175" s="133">
        <f ca="1">IFERROR(__xludf.DUMMYFUNCTION("""COMPUTED_VALUE"""),0.168)</f>
        <v>0.16800000000000001</v>
      </c>
      <c r="H175" s="133"/>
      <c r="I175" s="134">
        <f ca="1">IFERROR(__xludf.DUMMYFUNCTION("""COMPUTED_VALUE"""),860000)</f>
        <v>860000</v>
      </c>
    </row>
    <row r="176" spans="2:9" x14ac:dyDescent="0.3">
      <c r="B176" s="130" t="str">
        <f ca="1">IFERROR(__xludf.DUMMYFUNCTION("""COMPUTED_VALUE"""),"круг")</f>
        <v>круг</v>
      </c>
      <c r="C176" s="125" t="str">
        <f ca="1">IFERROR(__xludf.DUMMYFUNCTION("""COMPUTED_VALUE"""),"07х16н4Б-Ш")</f>
        <v>07х16н4Б-Ш</v>
      </c>
      <c r="D176" s="131">
        <f ca="1">IFERROR(__xludf.DUMMYFUNCTION("""COMPUTED_VALUE"""),65)</f>
        <v>65</v>
      </c>
      <c r="E176" s="131"/>
      <c r="F176" s="132" t="str">
        <f ca="1">IFERROR(__xludf.DUMMYFUNCTION("""COMPUTED_VALUE"""),"ту 14-1-3573-83, 2гп , УЗК РТТ")</f>
        <v>ту 14-1-3573-83, 2гп , УЗК РТТ</v>
      </c>
      <c r="G176" s="133">
        <f ca="1">IFERROR(__xludf.DUMMYFUNCTION("""COMPUTED_VALUE"""),2.034)</f>
        <v>2.0339999999999998</v>
      </c>
      <c r="H176" s="133"/>
      <c r="I176" s="134">
        <f ca="1">IFERROR(__xludf.DUMMYFUNCTION("""COMPUTED_VALUE"""),860000)</f>
        <v>860000</v>
      </c>
    </row>
    <row r="177" spans="2:9" x14ac:dyDescent="0.3">
      <c r="B177" s="130" t="str">
        <f ca="1">IFERROR(__xludf.DUMMYFUNCTION("""COMPUTED_VALUE"""),"круг")</f>
        <v>круг</v>
      </c>
      <c r="C177" s="125" t="str">
        <f ca="1">IFERROR(__xludf.DUMMYFUNCTION("""COMPUTED_VALUE"""),"07х16н4Б")</f>
        <v>07х16н4Б</v>
      </c>
      <c r="D177" s="131">
        <f ca="1">IFERROR(__xludf.DUMMYFUNCTION("""COMPUTED_VALUE"""),70)</f>
        <v>70</v>
      </c>
      <c r="E177" s="131"/>
      <c r="F177" s="132" t="str">
        <f ca="1">IFERROR(__xludf.DUMMYFUNCTION("""COMPUTED_VALUE"""),"ту 14-1-3573-83, 2гп УЗК, контроль Со")</f>
        <v>ту 14-1-3573-83, 2гп УЗК, контроль Со</v>
      </c>
      <c r="G177" s="133">
        <f ca="1">IFERROR(__xludf.DUMMYFUNCTION("""COMPUTED_VALUE"""),0.089)</f>
        <v>8.8999999999999996E-2</v>
      </c>
      <c r="H177" s="133"/>
      <c r="I177" s="134">
        <f ca="1">IFERROR(__xludf.DUMMYFUNCTION("""COMPUTED_VALUE"""),840000)</f>
        <v>840000</v>
      </c>
    </row>
    <row r="178" spans="2:9" x14ac:dyDescent="0.3">
      <c r="B178" s="130" t="str">
        <f ca="1">IFERROR(__xludf.DUMMYFUNCTION("""COMPUTED_VALUE"""),"круг")</f>
        <v>круг</v>
      </c>
      <c r="C178" s="125" t="str">
        <f ca="1">IFERROR(__xludf.DUMMYFUNCTION("""COMPUTED_VALUE"""),"07х16н4Б")</f>
        <v>07х16н4Б</v>
      </c>
      <c r="D178" s="131">
        <f ca="1">IFERROR(__xludf.DUMMYFUNCTION("""COMPUTED_VALUE"""),70)</f>
        <v>70</v>
      </c>
      <c r="E178" s="131"/>
      <c r="F178" s="132" t="str">
        <f ca="1">IFERROR(__xludf.DUMMYFUNCTION("""COMPUTED_VALUE"""),"ту 14-1-3573-83, 2гп УЗК, контроль Со")</f>
        <v>ту 14-1-3573-83, 2гп УЗК, контроль Со</v>
      </c>
      <c r="G178" s="133">
        <f ca="1">IFERROR(__xludf.DUMMYFUNCTION("""COMPUTED_VALUE"""),0.831)</f>
        <v>0.83099999999999996</v>
      </c>
      <c r="H178" s="133"/>
      <c r="I178" s="134">
        <f ca="1">IFERROR(__xludf.DUMMYFUNCTION("""COMPUTED_VALUE"""),840000)</f>
        <v>840000</v>
      </c>
    </row>
    <row r="179" spans="2:9" x14ac:dyDescent="0.3">
      <c r="B179" s="130" t="str">
        <f ca="1">IFERROR(__xludf.DUMMYFUNCTION("""COMPUTED_VALUE"""),"круг")</f>
        <v>круг</v>
      </c>
      <c r="C179" s="125" t="str">
        <f ca="1">IFERROR(__xludf.DUMMYFUNCTION("""COMPUTED_VALUE"""),"07х16н4Б")</f>
        <v>07х16н4Б</v>
      </c>
      <c r="D179" s="131">
        <f ca="1">IFERROR(__xludf.DUMMYFUNCTION("""COMPUTED_VALUE"""),70)</f>
        <v>70</v>
      </c>
      <c r="E179" s="131"/>
      <c r="F179" s="132" t="str">
        <f ca="1">IFERROR(__xludf.DUMMYFUNCTION("""COMPUTED_VALUE"""),"ту 14-1-3573-83, 2гп УЗК, контроль Со")</f>
        <v>ту 14-1-3573-83, 2гп УЗК, контроль Со</v>
      </c>
      <c r="G179" s="133">
        <f ca="1">IFERROR(__xludf.DUMMYFUNCTION("""COMPUTED_VALUE"""),0.195)</f>
        <v>0.19500000000000001</v>
      </c>
      <c r="H179" s="133"/>
      <c r="I179" s="134">
        <f ca="1">IFERROR(__xludf.DUMMYFUNCTION("""COMPUTED_VALUE"""),840000)</f>
        <v>840000</v>
      </c>
    </row>
    <row r="180" spans="2:9" x14ac:dyDescent="0.3">
      <c r="B180" s="130" t="str">
        <f ca="1">IFERROR(__xludf.DUMMYFUNCTION("""COMPUTED_VALUE"""),"круг")</f>
        <v>круг</v>
      </c>
      <c r="C180" s="125" t="str">
        <f ca="1">IFERROR(__xludf.DUMMYFUNCTION("""COMPUTED_VALUE"""),"07х16н4Б")</f>
        <v>07х16н4Б</v>
      </c>
      <c r="D180" s="131">
        <f ca="1">IFERROR(__xludf.DUMMYFUNCTION("""COMPUTED_VALUE"""),70)</f>
        <v>70</v>
      </c>
      <c r="E180" s="131"/>
      <c r="F180" s="132" t="str">
        <f ca="1">IFERROR(__xludf.DUMMYFUNCTION("""COMPUTED_VALUE"""),"ту 14-1-3573-83, 2гп УЗК, контроль Со")</f>
        <v>ту 14-1-3573-83, 2гп УЗК, контроль Со</v>
      </c>
      <c r="G180" s="133">
        <f ca="1">IFERROR(__xludf.DUMMYFUNCTION("""COMPUTED_VALUE"""),0.29)</f>
        <v>0.28999999999999998</v>
      </c>
      <c r="H180" s="133"/>
      <c r="I180" s="134">
        <f ca="1">IFERROR(__xludf.DUMMYFUNCTION("""COMPUTED_VALUE"""),840000)</f>
        <v>840000</v>
      </c>
    </row>
    <row r="181" spans="2:9" x14ac:dyDescent="0.3">
      <c r="B181" s="130" t="str">
        <f ca="1">IFERROR(__xludf.DUMMYFUNCTION("""COMPUTED_VALUE"""),"круг")</f>
        <v>круг</v>
      </c>
      <c r="C181" s="125" t="str">
        <f ca="1">IFERROR(__xludf.DUMMYFUNCTION("""COMPUTED_VALUE"""),"07х16н4Б")</f>
        <v>07х16н4Б</v>
      </c>
      <c r="D181" s="131">
        <f ca="1">IFERROR(__xludf.DUMMYFUNCTION("""COMPUTED_VALUE"""),75)</f>
        <v>75</v>
      </c>
      <c r="E181" s="131"/>
      <c r="F181" s="132" t="str">
        <f ca="1">IFERROR(__xludf.DUMMYFUNCTION("""COMPUTED_VALUE"""),"ту 14-1-3573-83, АТП , УЗК, 2гп ")</f>
        <v xml:space="preserve">ту 14-1-3573-83, АТП , УЗК, 2гп </v>
      </c>
      <c r="G181" s="133">
        <f ca="1">IFERROR(__xludf.DUMMYFUNCTION("""COMPUTED_VALUE"""),0.296)</f>
        <v>0.29599999999999999</v>
      </c>
      <c r="H181" s="133"/>
      <c r="I181" s="134">
        <f ca="1">IFERROR(__xludf.DUMMYFUNCTION("""COMPUTED_VALUE"""),870000)</f>
        <v>870000</v>
      </c>
    </row>
    <row r="182" spans="2:9" x14ac:dyDescent="0.3">
      <c r="B182" s="130" t="str">
        <f ca="1">IFERROR(__xludf.DUMMYFUNCTION("""COMPUTED_VALUE"""),"круг")</f>
        <v>круг</v>
      </c>
      <c r="C182" s="125" t="str">
        <f ca="1">IFERROR(__xludf.DUMMYFUNCTION("""COMPUTED_VALUE"""),"07х16н4Б-Ш")</f>
        <v>07х16н4Б-Ш</v>
      </c>
      <c r="D182" s="131">
        <f ca="1">IFERROR(__xludf.DUMMYFUNCTION("""COMPUTED_VALUE"""),78)</f>
        <v>78</v>
      </c>
      <c r="E182" s="131"/>
      <c r="F182" s="132" t="str">
        <f ca="1">IFERROR(__xludf.DUMMYFUNCTION("""COMPUTED_VALUE"""),"ту 14-1-3573-83, УЗК РТТ")</f>
        <v>ту 14-1-3573-83, УЗК РТТ</v>
      </c>
      <c r="G182" s="133">
        <f ca="1">IFERROR(__xludf.DUMMYFUNCTION("""COMPUTED_VALUE"""),1.88499999999999)</f>
        <v>1.88499999999999</v>
      </c>
      <c r="H182" s="133"/>
      <c r="I182" s="134">
        <f ca="1">IFERROR(__xludf.DUMMYFUNCTION("""COMPUTED_VALUE"""),1100000)</f>
        <v>1100000</v>
      </c>
    </row>
    <row r="183" spans="2:9" x14ac:dyDescent="0.3">
      <c r="B183" s="130" t="str">
        <f ca="1">IFERROR(__xludf.DUMMYFUNCTION("""COMPUTED_VALUE"""),"круг")</f>
        <v>круг</v>
      </c>
      <c r="C183" s="125" t="str">
        <f ca="1">IFERROR(__xludf.DUMMYFUNCTION("""COMPUTED_VALUE"""),"07х16н4Б")</f>
        <v>07х16н4Б</v>
      </c>
      <c r="D183" s="131">
        <f ca="1">IFERROR(__xludf.DUMMYFUNCTION("""COMPUTED_VALUE"""),80)</f>
        <v>80</v>
      </c>
      <c r="E183" s="131"/>
      <c r="F183" s="132" t="str">
        <f ca="1">IFERROR(__xludf.DUMMYFUNCTION("""COMPUTED_VALUE"""),"ту 14-1-3573-83, 2гп РТТ")</f>
        <v>ту 14-1-3573-83, 2гп РТТ</v>
      </c>
      <c r="G183" s="133">
        <f ca="1">IFERROR(__xludf.DUMMYFUNCTION("""COMPUTED_VALUE"""),0.505)</f>
        <v>0.505</v>
      </c>
      <c r="H183" s="133"/>
      <c r="I183" s="134">
        <f ca="1">IFERROR(__xludf.DUMMYFUNCTION("""COMPUTED_VALUE"""),850000)</f>
        <v>850000</v>
      </c>
    </row>
    <row r="184" spans="2:9" x14ac:dyDescent="0.3">
      <c r="B184" s="130" t="str">
        <f ca="1">IFERROR(__xludf.DUMMYFUNCTION("""COMPUTED_VALUE"""),"круг")</f>
        <v>круг</v>
      </c>
      <c r="C184" s="125" t="str">
        <f ca="1">IFERROR(__xludf.DUMMYFUNCTION("""COMPUTED_VALUE"""),"07х16н4Б")</f>
        <v>07х16н4Б</v>
      </c>
      <c r="D184" s="131">
        <f ca="1">IFERROR(__xludf.DUMMYFUNCTION("""COMPUTED_VALUE"""),80)</f>
        <v>80</v>
      </c>
      <c r="E184" s="131"/>
      <c r="F184" s="132" t="str">
        <f ca="1">IFERROR(__xludf.DUMMYFUNCTION("""COMPUTED_VALUE"""),"ту 14-1-3573-83, 2гп РТТ")</f>
        <v>ту 14-1-3573-83, 2гп РТТ</v>
      </c>
      <c r="G184" s="133">
        <f ca="1">IFERROR(__xludf.DUMMYFUNCTION("""COMPUTED_VALUE"""),1.46)</f>
        <v>1.46</v>
      </c>
      <c r="H184" s="133"/>
      <c r="I184" s="134">
        <f ca="1">IFERROR(__xludf.DUMMYFUNCTION("""COMPUTED_VALUE"""),850000)</f>
        <v>850000</v>
      </c>
    </row>
    <row r="185" spans="2:9" x14ac:dyDescent="0.3">
      <c r="B185" s="130" t="str">
        <f ca="1">IFERROR(__xludf.DUMMYFUNCTION("""COMPUTED_VALUE"""),"круг")</f>
        <v>круг</v>
      </c>
      <c r="C185" s="125" t="str">
        <f ca="1">IFERROR(__xludf.DUMMYFUNCTION("""COMPUTED_VALUE"""),"07х16н4Б")</f>
        <v>07х16н4Б</v>
      </c>
      <c r="D185" s="131">
        <f ca="1">IFERROR(__xludf.DUMMYFUNCTION("""COMPUTED_VALUE"""),80)</f>
        <v>80</v>
      </c>
      <c r="E185" s="131"/>
      <c r="F185" s="132" t="str">
        <f ca="1">IFERROR(__xludf.DUMMYFUNCTION("""COMPUTED_VALUE"""),"ту 14-1-3573-83, 2гп РТТ")</f>
        <v>ту 14-1-3573-83, 2гп РТТ</v>
      </c>
      <c r="G185" s="133">
        <f ca="1">IFERROR(__xludf.DUMMYFUNCTION("""COMPUTED_VALUE"""),0.355)</f>
        <v>0.35499999999999998</v>
      </c>
      <c r="H185" s="133"/>
      <c r="I185" s="134">
        <f ca="1">IFERROR(__xludf.DUMMYFUNCTION("""COMPUTED_VALUE"""),850000)</f>
        <v>850000</v>
      </c>
    </row>
    <row r="186" spans="2:9" x14ac:dyDescent="0.3">
      <c r="B186" s="130" t="str">
        <f ca="1">IFERROR(__xludf.DUMMYFUNCTION("""COMPUTED_VALUE"""),"круг")</f>
        <v>круг</v>
      </c>
      <c r="C186" s="125" t="str">
        <f ca="1">IFERROR(__xludf.DUMMYFUNCTION("""COMPUTED_VALUE"""),"07х16н4Б")</f>
        <v>07х16н4Б</v>
      </c>
      <c r="D186" s="131">
        <f ca="1">IFERROR(__xludf.DUMMYFUNCTION("""COMPUTED_VALUE"""),85)</f>
        <v>85</v>
      </c>
      <c r="E186" s="131"/>
      <c r="F186" s="132" t="str">
        <f ca="1">IFERROR(__xludf.DUMMYFUNCTION("""COMPUTED_VALUE"""),"ту 14-1-3573-83, 2гп ")</f>
        <v xml:space="preserve">ту 14-1-3573-83, 2гп </v>
      </c>
      <c r="G186" s="133">
        <f ca="1">IFERROR(__xludf.DUMMYFUNCTION("""COMPUTED_VALUE"""),1.403)</f>
        <v>1.403</v>
      </c>
      <c r="H186" s="133"/>
      <c r="I186" s="134">
        <f ca="1">IFERROR(__xludf.DUMMYFUNCTION("""COMPUTED_VALUE"""),840000)</f>
        <v>840000</v>
      </c>
    </row>
    <row r="187" spans="2:9" x14ac:dyDescent="0.3">
      <c r="B187" s="130" t="str">
        <f ca="1">IFERROR(__xludf.DUMMYFUNCTION("""COMPUTED_VALUE"""),"круг")</f>
        <v>круг</v>
      </c>
      <c r="C187" s="125" t="str">
        <f ca="1">IFERROR(__xludf.DUMMYFUNCTION("""COMPUTED_VALUE"""),"07х16н4Б")</f>
        <v>07х16н4Б</v>
      </c>
      <c r="D187" s="131">
        <f ca="1">IFERROR(__xludf.DUMMYFUNCTION("""COMPUTED_VALUE"""),90)</f>
        <v>90</v>
      </c>
      <c r="E187" s="131"/>
      <c r="F187" s="132" t="str">
        <f ca="1">IFERROR(__xludf.DUMMYFUNCTION("""COMPUTED_VALUE"""),"ту 14-1-3573-83, 2гп РТТ")</f>
        <v>ту 14-1-3573-83, 2гп РТТ</v>
      </c>
      <c r="G187" s="133">
        <f ca="1">IFERROR(__xludf.DUMMYFUNCTION("""COMPUTED_VALUE"""),0.674999999999999)</f>
        <v>0.67499999999999905</v>
      </c>
      <c r="H187" s="133"/>
      <c r="I187" s="134">
        <f ca="1">IFERROR(__xludf.DUMMYFUNCTION("""COMPUTED_VALUE"""),850000)</f>
        <v>850000</v>
      </c>
    </row>
    <row r="188" spans="2:9" x14ac:dyDescent="0.3">
      <c r="B188" s="130" t="str">
        <f ca="1">IFERROR(__xludf.DUMMYFUNCTION("""COMPUTED_VALUE"""),"круг")</f>
        <v>круг</v>
      </c>
      <c r="C188" s="125" t="str">
        <f ca="1">IFERROR(__xludf.DUMMYFUNCTION("""COMPUTED_VALUE"""),"07х16н4Б")</f>
        <v>07х16н4Б</v>
      </c>
      <c r="D188" s="131">
        <f ca="1">IFERROR(__xludf.DUMMYFUNCTION("""COMPUTED_VALUE"""),90)</f>
        <v>90</v>
      </c>
      <c r="E188" s="131"/>
      <c r="F188" s="132" t="str">
        <f ca="1">IFERROR(__xludf.DUMMYFUNCTION("""COMPUTED_VALUE"""),"ту 14-1-3573-83, 2гп УЗК, контроль Со")</f>
        <v>ту 14-1-3573-83, 2гп УЗК, контроль Со</v>
      </c>
      <c r="G188" s="133">
        <f ca="1">IFERROR(__xludf.DUMMYFUNCTION("""COMPUTED_VALUE"""),1.33)</f>
        <v>1.33</v>
      </c>
      <c r="H188" s="133"/>
      <c r="I188" s="134">
        <f ca="1">IFERROR(__xludf.DUMMYFUNCTION("""COMPUTED_VALUE"""),840000)</f>
        <v>840000</v>
      </c>
    </row>
    <row r="189" spans="2:9" x14ac:dyDescent="0.3">
      <c r="B189" s="130" t="str">
        <f ca="1">IFERROR(__xludf.DUMMYFUNCTION("""COMPUTED_VALUE"""),"круг")</f>
        <v>круг</v>
      </c>
      <c r="C189" s="125" t="str">
        <f ca="1">IFERROR(__xludf.DUMMYFUNCTION("""COMPUTED_VALUE"""),"07х16н4Б")</f>
        <v>07х16н4Б</v>
      </c>
      <c r="D189" s="131">
        <f ca="1">IFERROR(__xludf.DUMMYFUNCTION("""COMPUTED_VALUE"""),100)</f>
        <v>100</v>
      </c>
      <c r="E189" s="131"/>
      <c r="F189" s="132" t="str">
        <f ca="1">IFERROR(__xludf.DUMMYFUNCTION("""COMPUTED_VALUE"""),"ту 14-1-3573-83, 2гп УЗК, контроль Со")</f>
        <v>ту 14-1-3573-83, 2гп УЗК, контроль Со</v>
      </c>
      <c r="G189" s="133">
        <f ca="1">IFERROR(__xludf.DUMMYFUNCTION("""COMPUTED_VALUE"""),0.0180000000000002)</f>
        <v>1.80000000000002E-2</v>
      </c>
      <c r="H189" s="133"/>
      <c r="I189" s="134">
        <f ca="1">IFERROR(__xludf.DUMMYFUNCTION("""COMPUTED_VALUE"""),840000)</f>
        <v>840000</v>
      </c>
    </row>
    <row r="190" spans="2:9" x14ac:dyDescent="0.3">
      <c r="B190" s="130" t="str">
        <f ca="1">IFERROR(__xludf.DUMMYFUNCTION("""COMPUTED_VALUE"""),"круг")</f>
        <v>круг</v>
      </c>
      <c r="C190" s="125" t="str">
        <f ca="1">IFERROR(__xludf.DUMMYFUNCTION("""COMPUTED_VALUE"""),"07х16н4Б")</f>
        <v>07х16н4Б</v>
      </c>
      <c r="D190" s="131">
        <f ca="1">IFERROR(__xludf.DUMMYFUNCTION("""COMPUTED_VALUE"""),120)</f>
        <v>120</v>
      </c>
      <c r="E190" s="131"/>
      <c r="F190" s="132" t="str">
        <f ca="1">IFERROR(__xludf.DUMMYFUNCTION("""COMPUTED_VALUE"""),"ту 14-1-3573-83, 2гп ")</f>
        <v xml:space="preserve">ту 14-1-3573-83, 2гп </v>
      </c>
      <c r="G190" s="133">
        <f ca="1">IFERROR(__xludf.DUMMYFUNCTION("""COMPUTED_VALUE"""),0.647999999999999)</f>
        <v>0.64799999999999902</v>
      </c>
      <c r="H190" s="133"/>
      <c r="I190" s="134">
        <f ca="1">IFERROR(__xludf.DUMMYFUNCTION("""COMPUTED_VALUE"""),840000)</f>
        <v>840000</v>
      </c>
    </row>
    <row r="191" spans="2:9" x14ac:dyDescent="0.3">
      <c r="B191" s="130" t="str">
        <f ca="1">IFERROR(__xludf.DUMMYFUNCTION("""COMPUTED_VALUE"""),"круг")</f>
        <v>круг</v>
      </c>
      <c r="C191" s="125" t="str">
        <f ca="1">IFERROR(__xludf.DUMMYFUNCTION("""COMPUTED_VALUE"""),"07х16н4Б-Ш")</f>
        <v>07х16н4Б-Ш</v>
      </c>
      <c r="D191" s="131">
        <f ca="1">IFERROR(__xludf.DUMMYFUNCTION("""COMPUTED_VALUE"""),120)</f>
        <v>120</v>
      </c>
      <c r="E191" s="131"/>
      <c r="F191" s="132" t="str">
        <f ca="1">IFERROR(__xludf.DUMMYFUNCTION("""COMPUTED_VALUE"""),"ту 14-1-3573-83, 2гп , УЗК РТТ")</f>
        <v>ту 14-1-3573-83, 2гп , УЗК РТТ</v>
      </c>
      <c r="G191" s="133">
        <f ca="1">IFERROR(__xludf.DUMMYFUNCTION("""COMPUTED_VALUE"""),1.21)</f>
        <v>1.21</v>
      </c>
      <c r="H191" s="133"/>
      <c r="I191" s="134">
        <f ca="1">IFERROR(__xludf.DUMMYFUNCTION("""COMPUTED_VALUE"""),1100000)</f>
        <v>1100000</v>
      </c>
    </row>
    <row r="192" spans="2:9" x14ac:dyDescent="0.3">
      <c r="B192" s="130" t="str">
        <f ca="1">IFERROR(__xludf.DUMMYFUNCTION("""COMPUTED_VALUE"""),"круг")</f>
        <v>круг</v>
      </c>
      <c r="C192" s="125" t="str">
        <f ca="1">IFERROR(__xludf.DUMMYFUNCTION("""COMPUTED_VALUE"""),"07х16н4Б-Ш")</f>
        <v>07х16н4Б-Ш</v>
      </c>
      <c r="D192" s="131">
        <f ca="1">IFERROR(__xludf.DUMMYFUNCTION("""COMPUTED_VALUE"""),120)</f>
        <v>120</v>
      </c>
      <c r="E192" s="131"/>
      <c r="F192" s="132" t="str">
        <f ca="1">IFERROR(__xludf.DUMMYFUNCTION("""COMPUTED_VALUE"""),"ГОСТ5949/2590, 3гп , УЗК РТТ")</f>
        <v>ГОСТ5949/2590, 3гп , УЗК РТТ</v>
      </c>
      <c r="G192" s="133">
        <f ca="1">IFERROR(__xludf.DUMMYFUNCTION("""COMPUTED_VALUE"""),0.722)</f>
        <v>0.72199999999999998</v>
      </c>
      <c r="H192" s="133"/>
      <c r="I192" s="134">
        <f ca="1">IFERROR(__xludf.DUMMYFUNCTION("""COMPUTED_VALUE"""),1100000)</f>
        <v>1100000</v>
      </c>
    </row>
    <row r="193" spans="2:9" x14ac:dyDescent="0.3">
      <c r="B193" s="130" t="str">
        <f ca="1">IFERROR(__xludf.DUMMYFUNCTION("""COMPUTED_VALUE"""),"круг")</f>
        <v>круг</v>
      </c>
      <c r="C193" s="125" t="str">
        <f ca="1">IFERROR(__xludf.DUMMYFUNCTION("""COMPUTED_VALUE"""),"07х16н4Б")</f>
        <v>07х16н4Б</v>
      </c>
      <c r="D193" s="131">
        <f ca="1">IFERROR(__xludf.DUMMYFUNCTION("""COMPUTED_VALUE"""),130)</f>
        <v>130</v>
      </c>
      <c r="E193" s="131"/>
      <c r="F193" s="132" t="str">
        <f ca="1">IFERROR(__xludf.DUMMYFUNCTION("""COMPUTED_VALUE"""),"ту 14-1-3573-83, 2гп РТТ")</f>
        <v>ту 14-1-3573-83, 2гп РТТ</v>
      </c>
      <c r="G193" s="133">
        <f ca="1">IFERROR(__xludf.DUMMYFUNCTION("""COMPUTED_VALUE"""),0.287999999999999)</f>
        <v>0.28799999999999898</v>
      </c>
      <c r="H193" s="133"/>
      <c r="I193" s="134">
        <f ca="1">IFERROR(__xludf.DUMMYFUNCTION("""COMPUTED_VALUE"""),850000)</f>
        <v>850000</v>
      </c>
    </row>
    <row r="194" spans="2:9" x14ac:dyDescent="0.3">
      <c r="B194" s="130" t="str">
        <f ca="1">IFERROR(__xludf.DUMMYFUNCTION("""COMPUTED_VALUE"""),"круг")</f>
        <v>круг</v>
      </c>
      <c r="C194" s="125" t="str">
        <f ca="1">IFERROR(__xludf.DUMMYFUNCTION("""COMPUTED_VALUE"""),"07х16н4Б-Ш")</f>
        <v>07х16н4Б-Ш</v>
      </c>
      <c r="D194" s="131">
        <f ca="1">IFERROR(__xludf.DUMMYFUNCTION("""COMPUTED_VALUE"""),135)</f>
        <v>135</v>
      </c>
      <c r="E194" s="131"/>
      <c r="F194" s="132" t="str">
        <f ca="1">IFERROR(__xludf.DUMMYFUNCTION("""COMPUTED_VALUE"""),"ту 14-1-3573-83, 2гп , УЗК РТТ")</f>
        <v>ту 14-1-3573-83, 2гп , УЗК РТТ</v>
      </c>
      <c r="G194" s="133">
        <f ca="1">IFERROR(__xludf.DUMMYFUNCTION("""COMPUTED_VALUE"""),0.372)</f>
        <v>0.372</v>
      </c>
      <c r="H194" s="133"/>
      <c r="I194" s="134">
        <f ca="1">IFERROR(__xludf.DUMMYFUNCTION("""COMPUTED_VALUE"""),1100000)</f>
        <v>1100000</v>
      </c>
    </row>
    <row r="195" spans="2:9" x14ac:dyDescent="0.3">
      <c r="B195" s="130" t="str">
        <f ca="1">IFERROR(__xludf.DUMMYFUNCTION("""COMPUTED_VALUE"""),"круг")</f>
        <v>круг</v>
      </c>
      <c r="C195" s="125" t="str">
        <f ca="1">IFERROR(__xludf.DUMMYFUNCTION("""COMPUTED_VALUE"""),"07х16н4Б")</f>
        <v>07х16н4Б</v>
      </c>
      <c r="D195" s="131">
        <f ca="1">IFERROR(__xludf.DUMMYFUNCTION("""COMPUTED_VALUE"""),140)</f>
        <v>140</v>
      </c>
      <c r="E195" s="131"/>
      <c r="F195" s="132" t="str">
        <f ca="1">IFERROR(__xludf.DUMMYFUNCTION("""COMPUTED_VALUE"""),"ту 14-1-3573-83, 2гп ")</f>
        <v xml:space="preserve">ту 14-1-3573-83, 2гп </v>
      </c>
      <c r="G195" s="133">
        <f ca="1">IFERROR(__xludf.DUMMYFUNCTION("""COMPUTED_VALUE"""),0.0689999999999999)</f>
        <v>6.8999999999999895E-2</v>
      </c>
      <c r="H195" s="133"/>
      <c r="I195" s="134">
        <f ca="1">IFERROR(__xludf.DUMMYFUNCTION("""COMPUTED_VALUE"""),840000)</f>
        <v>840000</v>
      </c>
    </row>
    <row r="196" spans="2:9" x14ac:dyDescent="0.3">
      <c r="B196" s="130" t="str">
        <f ca="1">IFERROR(__xludf.DUMMYFUNCTION("""COMPUTED_VALUE"""),"круг")</f>
        <v>круг</v>
      </c>
      <c r="C196" s="125" t="str">
        <f ca="1">IFERROR(__xludf.DUMMYFUNCTION("""COMPUTED_VALUE"""),"07х16н4Б")</f>
        <v>07х16н4Б</v>
      </c>
      <c r="D196" s="131">
        <f ca="1">IFERROR(__xludf.DUMMYFUNCTION("""COMPUTED_VALUE"""),140)</f>
        <v>140</v>
      </c>
      <c r="E196" s="131"/>
      <c r="F196" s="132" t="str">
        <f ca="1">IFERROR(__xludf.DUMMYFUNCTION("""COMPUTED_VALUE"""),"ту 14-1-3573-83, 2гп ")</f>
        <v xml:space="preserve">ту 14-1-3573-83, 2гп </v>
      </c>
      <c r="G196" s="133">
        <f ca="1">IFERROR(__xludf.DUMMYFUNCTION("""COMPUTED_VALUE"""),1.612)</f>
        <v>1.6120000000000001</v>
      </c>
      <c r="H196" s="133"/>
      <c r="I196" s="134">
        <f ca="1">IFERROR(__xludf.DUMMYFUNCTION("""COMPUTED_VALUE"""),840000)</f>
        <v>840000</v>
      </c>
    </row>
    <row r="197" spans="2:9" x14ac:dyDescent="0.3">
      <c r="B197" s="130" t="str">
        <f ca="1">IFERROR(__xludf.DUMMYFUNCTION("""COMPUTED_VALUE"""),"круг")</f>
        <v>круг</v>
      </c>
      <c r="C197" s="125" t="str">
        <f ca="1">IFERROR(__xludf.DUMMYFUNCTION("""COMPUTED_VALUE"""),"07х16н4Б")</f>
        <v>07х16н4Б</v>
      </c>
      <c r="D197" s="131">
        <f ca="1">IFERROR(__xludf.DUMMYFUNCTION("""COMPUTED_VALUE"""),160)</f>
        <v>160</v>
      </c>
      <c r="E197" s="131"/>
      <c r="F197" s="132" t="str">
        <f ca="1">IFERROR(__xludf.DUMMYFUNCTION("""COMPUTED_VALUE"""),"ту 14-1-3573-83, АТП , УЗК, 2гп ")</f>
        <v xml:space="preserve">ту 14-1-3573-83, АТП , УЗК, 2гп </v>
      </c>
      <c r="G197" s="133">
        <f ca="1">IFERROR(__xludf.DUMMYFUNCTION("""COMPUTED_VALUE"""),0.0829999999999997)</f>
        <v>8.2999999999999699E-2</v>
      </c>
      <c r="H197" s="133"/>
      <c r="I197" s="134">
        <f ca="1">IFERROR(__xludf.DUMMYFUNCTION("""COMPUTED_VALUE"""),870000)</f>
        <v>870000</v>
      </c>
    </row>
    <row r="198" spans="2:9" x14ac:dyDescent="0.3">
      <c r="B198" s="130" t="str">
        <f ca="1">IFERROR(__xludf.DUMMYFUNCTION("""COMPUTED_VALUE"""),"круг")</f>
        <v>круг</v>
      </c>
      <c r="C198" s="125" t="str">
        <f ca="1">IFERROR(__xludf.DUMMYFUNCTION("""COMPUTED_VALUE"""),"07х16н4Б")</f>
        <v>07х16н4Б</v>
      </c>
      <c r="D198" s="131">
        <f ca="1">IFERROR(__xludf.DUMMYFUNCTION("""COMPUTED_VALUE"""),160)</f>
        <v>160</v>
      </c>
      <c r="E198" s="131"/>
      <c r="F198" s="132" t="str">
        <f ca="1">IFERROR(__xludf.DUMMYFUNCTION("""COMPUTED_VALUE"""),"ту 14-1-3573-83, 2гп ")</f>
        <v xml:space="preserve">ту 14-1-3573-83, 2гп </v>
      </c>
      <c r="G198" s="133">
        <f ca="1">IFERROR(__xludf.DUMMYFUNCTION("""COMPUTED_VALUE"""),0.139)</f>
        <v>0.13900000000000001</v>
      </c>
      <c r="H198" s="133"/>
      <c r="I198" s="134">
        <f ca="1">IFERROR(__xludf.DUMMYFUNCTION("""COMPUTED_VALUE"""),870000)</f>
        <v>870000</v>
      </c>
    </row>
    <row r="199" spans="2:9" x14ac:dyDescent="0.3">
      <c r="B199" s="130" t="str">
        <f ca="1">IFERROR(__xludf.DUMMYFUNCTION("""COMPUTED_VALUE"""),"круг")</f>
        <v>круг</v>
      </c>
      <c r="C199" s="125" t="str">
        <f ca="1">IFERROR(__xludf.DUMMYFUNCTION("""COMPUTED_VALUE"""),"07х16н4Б")</f>
        <v>07х16н4Б</v>
      </c>
      <c r="D199" s="131">
        <f ca="1">IFERROR(__xludf.DUMMYFUNCTION("""COMPUTED_VALUE"""),160)</f>
        <v>160</v>
      </c>
      <c r="E199" s="131"/>
      <c r="F199" s="132" t="str">
        <f ca="1">IFERROR(__xludf.DUMMYFUNCTION("""COMPUTED_VALUE"""),"ту 14-1-3573-83, 2гп ")</f>
        <v xml:space="preserve">ту 14-1-3573-83, 2гп </v>
      </c>
      <c r="G199" s="133">
        <f ca="1">IFERROR(__xludf.DUMMYFUNCTION("""COMPUTED_VALUE"""),0.184)</f>
        <v>0.184</v>
      </c>
      <c r="H199" s="133"/>
      <c r="I199" s="134">
        <f ca="1">IFERROR(__xludf.DUMMYFUNCTION("""COMPUTED_VALUE"""),870000)</f>
        <v>870000</v>
      </c>
    </row>
    <row r="200" spans="2:9" x14ac:dyDescent="0.3">
      <c r="B200" s="130" t="str">
        <f ca="1">IFERROR(__xludf.DUMMYFUNCTION("""COMPUTED_VALUE"""),"круг")</f>
        <v>круг</v>
      </c>
      <c r="C200" s="125" t="str">
        <f ca="1">IFERROR(__xludf.DUMMYFUNCTION("""COMPUTED_VALUE"""),"07х16н4Б")</f>
        <v>07х16н4Б</v>
      </c>
      <c r="D200" s="131">
        <f ca="1">IFERROR(__xludf.DUMMYFUNCTION("""COMPUTED_VALUE"""),170)</f>
        <v>170</v>
      </c>
      <c r="E200" s="131"/>
      <c r="F200" s="132" t="str">
        <f ca="1">IFERROR(__xludf.DUMMYFUNCTION("""COMPUTED_VALUE"""),"ту 14-1-3573-83, 2гп ")</f>
        <v xml:space="preserve">ту 14-1-3573-83, 2гп </v>
      </c>
      <c r="G200" s="133">
        <f ca="1">IFERROR(__xludf.DUMMYFUNCTION("""COMPUTED_VALUE"""),2.95899999999999)</f>
        <v>2.9589999999999899</v>
      </c>
      <c r="H200" s="133"/>
      <c r="I200" s="134">
        <f ca="1">IFERROR(__xludf.DUMMYFUNCTION("""COMPUTED_VALUE"""),840000)</f>
        <v>840000</v>
      </c>
    </row>
    <row r="201" spans="2:9" x14ac:dyDescent="0.3">
      <c r="B201" s="130" t="str">
        <f ca="1">IFERROR(__xludf.DUMMYFUNCTION("""COMPUTED_VALUE"""),"круг")</f>
        <v>круг</v>
      </c>
      <c r="C201" s="125" t="str">
        <f ca="1">IFERROR(__xludf.DUMMYFUNCTION("""COMPUTED_VALUE"""),"07х16н4Б")</f>
        <v>07х16н4Б</v>
      </c>
      <c r="D201" s="131">
        <f ca="1">IFERROR(__xludf.DUMMYFUNCTION("""COMPUTED_VALUE"""),180)</f>
        <v>180</v>
      </c>
      <c r="E201" s="131"/>
      <c r="F201" s="132" t="str">
        <f ca="1">IFERROR(__xludf.DUMMYFUNCTION("""COMPUTED_VALUE"""),"ту 14-1-3573-83, 2гп ")</f>
        <v xml:space="preserve">ту 14-1-3573-83, 2гп </v>
      </c>
      <c r="G201" s="133">
        <f ca="1">IFERROR(__xludf.DUMMYFUNCTION("""COMPUTED_VALUE"""),0.04)</f>
        <v>0.04</v>
      </c>
      <c r="H201" s="133"/>
      <c r="I201" s="134">
        <f ca="1">IFERROR(__xludf.DUMMYFUNCTION("""COMPUTED_VALUE"""),840000)</f>
        <v>840000</v>
      </c>
    </row>
    <row r="202" spans="2:9" x14ac:dyDescent="0.3">
      <c r="B202" s="130" t="str">
        <f ca="1">IFERROR(__xludf.DUMMYFUNCTION("""COMPUTED_VALUE"""),"круг")</f>
        <v>круг</v>
      </c>
      <c r="C202" s="125" t="str">
        <f ca="1">IFERROR(__xludf.DUMMYFUNCTION("""COMPUTED_VALUE"""),"07х16н4Б")</f>
        <v>07х16н4Б</v>
      </c>
      <c r="D202" s="131">
        <f ca="1">IFERROR(__xludf.DUMMYFUNCTION("""COMPUTED_VALUE"""),180)</f>
        <v>180</v>
      </c>
      <c r="E202" s="131"/>
      <c r="F202" s="132" t="str">
        <f ca="1">IFERROR(__xludf.DUMMYFUNCTION("""COMPUTED_VALUE"""),"ту 14-1-3573-83, 2гп ")</f>
        <v xml:space="preserve">ту 14-1-3573-83, 2гп </v>
      </c>
      <c r="G202" s="133">
        <f ca="1">IFERROR(__xludf.DUMMYFUNCTION("""COMPUTED_VALUE"""),0.169999999999999)</f>
        <v>0.16999999999999901</v>
      </c>
      <c r="H202" s="133"/>
      <c r="I202" s="134">
        <f ca="1">IFERROR(__xludf.DUMMYFUNCTION("""COMPUTED_VALUE"""),840000)</f>
        <v>840000</v>
      </c>
    </row>
    <row r="203" spans="2:9" x14ac:dyDescent="0.3">
      <c r="B203" s="130" t="str">
        <f ca="1">IFERROR(__xludf.DUMMYFUNCTION("""COMPUTED_VALUE"""),"круг")</f>
        <v>круг</v>
      </c>
      <c r="C203" s="125" t="str">
        <f ca="1">IFERROR(__xludf.DUMMYFUNCTION("""COMPUTED_VALUE"""),"07х16н4Б")</f>
        <v>07х16н4Б</v>
      </c>
      <c r="D203" s="131">
        <f ca="1">IFERROR(__xludf.DUMMYFUNCTION("""COMPUTED_VALUE"""),180)</f>
        <v>180</v>
      </c>
      <c r="E203" s="131"/>
      <c r="F203" s="132" t="str">
        <f ca="1">IFERROR(__xludf.DUMMYFUNCTION("""COMPUTED_VALUE"""),"ту 14-1-3573-83, 2гп ")</f>
        <v xml:space="preserve">ту 14-1-3573-83, 2гп </v>
      </c>
      <c r="G203" s="133">
        <f ca="1">IFERROR(__xludf.DUMMYFUNCTION("""COMPUTED_VALUE"""),0.153)</f>
        <v>0.153</v>
      </c>
      <c r="H203" s="133"/>
      <c r="I203" s="134">
        <f ca="1">IFERROR(__xludf.DUMMYFUNCTION("""COMPUTED_VALUE"""),840000)</f>
        <v>840000</v>
      </c>
    </row>
    <row r="204" spans="2:9" x14ac:dyDescent="0.3">
      <c r="B204" s="130" t="str">
        <f ca="1">IFERROR(__xludf.DUMMYFUNCTION("""COMPUTED_VALUE"""),"круг")</f>
        <v>круг</v>
      </c>
      <c r="C204" s="125" t="str">
        <f ca="1">IFERROR(__xludf.DUMMYFUNCTION("""COMPUTED_VALUE"""),"07х16н4Б")</f>
        <v>07х16н4Б</v>
      </c>
      <c r="D204" s="131">
        <f ca="1">IFERROR(__xludf.DUMMYFUNCTION("""COMPUTED_VALUE"""),190)</f>
        <v>190</v>
      </c>
      <c r="E204" s="131"/>
      <c r="F204" s="132" t="str">
        <f ca="1">IFERROR(__xludf.DUMMYFUNCTION("""COMPUTED_VALUE"""),"ту 14-1-3573-83, 2гп ")</f>
        <v xml:space="preserve">ту 14-1-3573-83, 2гп </v>
      </c>
      <c r="G204" s="133">
        <f ca="1">IFERROR(__xludf.DUMMYFUNCTION("""COMPUTED_VALUE"""),1.067)</f>
        <v>1.0669999999999999</v>
      </c>
      <c r="H204" s="133"/>
      <c r="I204" s="134">
        <f ca="1">IFERROR(__xludf.DUMMYFUNCTION("""COMPUTED_VALUE"""),840000)</f>
        <v>840000</v>
      </c>
    </row>
    <row r="205" spans="2:9" x14ac:dyDescent="0.3">
      <c r="B205" s="130" t="str">
        <f ca="1">IFERROR(__xludf.DUMMYFUNCTION("""COMPUTED_VALUE"""),"круг")</f>
        <v>круг</v>
      </c>
      <c r="C205" s="125" t="str">
        <f ca="1">IFERROR(__xludf.DUMMYFUNCTION("""COMPUTED_VALUE"""),"07х16н4Б")</f>
        <v>07х16н4Б</v>
      </c>
      <c r="D205" s="131">
        <f ca="1">IFERROR(__xludf.DUMMYFUNCTION("""COMPUTED_VALUE"""),200)</f>
        <v>200</v>
      </c>
      <c r="E205" s="131"/>
      <c r="F205" s="132" t="str">
        <f ca="1">IFERROR(__xludf.DUMMYFUNCTION("""COMPUTED_VALUE"""),"ту 14-1-3573-83, АТП , УЗК, 2гп ")</f>
        <v xml:space="preserve">ту 14-1-3573-83, АТП , УЗК, 2гп </v>
      </c>
      <c r="G205" s="133">
        <f ca="1">IFERROR(__xludf.DUMMYFUNCTION("""COMPUTED_VALUE"""),0.037)</f>
        <v>3.6999999999999998E-2</v>
      </c>
      <c r="H205" s="133"/>
      <c r="I205" s="134">
        <f ca="1">IFERROR(__xludf.DUMMYFUNCTION("""COMPUTED_VALUE"""),870000)</f>
        <v>870000</v>
      </c>
    </row>
    <row r="206" spans="2:9" x14ac:dyDescent="0.3">
      <c r="B206" s="130" t="str">
        <f ca="1">IFERROR(__xludf.DUMMYFUNCTION("""COMPUTED_VALUE"""),"круг")</f>
        <v>круг</v>
      </c>
      <c r="C206" s="125" t="str">
        <f ca="1">IFERROR(__xludf.DUMMYFUNCTION("""COMPUTED_VALUE"""),"07х16н4Б")</f>
        <v>07х16н4Б</v>
      </c>
      <c r="D206" s="131">
        <f ca="1">IFERROR(__xludf.DUMMYFUNCTION("""COMPUTED_VALUE"""),210)</f>
        <v>210</v>
      </c>
      <c r="E206" s="131"/>
      <c r="F206" s="132" t="str">
        <f ca="1">IFERROR(__xludf.DUMMYFUNCTION("""COMPUTED_VALUE"""),"ГОСТ 5632/25054,  УЗК,обточ, ков")</f>
        <v>ГОСТ 5632/25054,  УЗК,обточ, ков</v>
      </c>
      <c r="G206" s="133">
        <f ca="1">IFERROR(__xludf.DUMMYFUNCTION("""COMPUTED_VALUE"""),0.039)</f>
        <v>3.9E-2</v>
      </c>
      <c r="H206" s="133"/>
      <c r="I206" s="134">
        <f ca="1">IFERROR(__xludf.DUMMYFUNCTION("""COMPUTED_VALUE"""),1025000)</f>
        <v>1025000</v>
      </c>
    </row>
    <row r="207" spans="2:9" x14ac:dyDescent="0.3">
      <c r="B207" s="130" t="str">
        <f ca="1">IFERROR(__xludf.DUMMYFUNCTION("""COMPUTED_VALUE"""),"круг")</f>
        <v>круг</v>
      </c>
      <c r="C207" s="125" t="str">
        <f ca="1">IFERROR(__xludf.DUMMYFUNCTION("""COMPUTED_VALUE"""),"07х16н4Б")</f>
        <v>07х16н4Б</v>
      </c>
      <c r="D207" s="131">
        <f ca="1">IFERROR(__xludf.DUMMYFUNCTION("""COMPUTED_VALUE"""),210)</f>
        <v>210</v>
      </c>
      <c r="E207" s="131"/>
      <c r="F207" s="132" t="str">
        <f ca="1">IFERROR(__xludf.DUMMYFUNCTION("""COMPUTED_VALUE"""),"ГОСТ 5632/25054,  УЗК,обточ, ков, НМВ")</f>
        <v>ГОСТ 5632/25054,  УЗК,обточ, ков, НМВ</v>
      </c>
      <c r="G207" s="133">
        <f ca="1">IFERROR(__xludf.DUMMYFUNCTION("""COMPUTED_VALUE"""),2.848)</f>
        <v>2.8479999999999999</v>
      </c>
      <c r="H207" s="133"/>
      <c r="I207" s="134">
        <f ca="1">IFERROR(__xludf.DUMMYFUNCTION("""COMPUTED_VALUE"""),950000)</f>
        <v>950000</v>
      </c>
    </row>
    <row r="208" spans="2:9" x14ac:dyDescent="0.3">
      <c r="B208" s="130" t="str">
        <f ca="1">IFERROR(__xludf.DUMMYFUNCTION("""COMPUTED_VALUE"""),"круг")</f>
        <v>круг</v>
      </c>
      <c r="C208" s="125" t="str">
        <f ca="1">IFERROR(__xludf.DUMMYFUNCTION("""COMPUTED_VALUE"""),"07х16н4Б-Ш")</f>
        <v>07х16н4Б-Ш</v>
      </c>
      <c r="D208" s="131">
        <f ca="1">IFERROR(__xludf.DUMMYFUNCTION("""COMPUTED_VALUE"""),210)</f>
        <v>210</v>
      </c>
      <c r="E208" s="131"/>
      <c r="F208" s="132" t="str">
        <f ca="1">IFERROR(__xludf.DUMMYFUNCTION("""COMPUTED_VALUE"""),"ГОСТ 5632/25054,  УЗК,обточ, ков")</f>
        <v>ГОСТ 5632/25054,  УЗК,обточ, ков</v>
      </c>
      <c r="G208" s="133">
        <f ca="1">IFERROR(__xludf.DUMMYFUNCTION("""COMPUTED_VALUE"""),0.865)</f>
        <v>0.86499999999999999</v>
      </c>
      <c r="H208" s="133"/>
      <c r="I208" s="134">
        <f ca="1">IFERROR(__xludf.DUMMYFUNCTION("""COMPUTED_VALUE"""),1200000)</f>
        <v>1200000</v>
      </c>
    </row>
    <row r="209" spans="2:9" x14ac:dyDescent="0.3">
      <c r="B209" s="130" t="str">
        <f ca="1">IFERROR(__xludf.DUMMYFUNCTION("""COMPUTED_VALUE"""),"круг")</f>
        <v>круг</v>
      </c>
      <c r="C209" s="125" t="str">
        <f ca="1">IFERROR(__xludf.DUMMYFUNCTION("""COMPUTED_VALUE"""),"07х16н4Б-Ш")</f>
        <v>07х16н4Б-Ш</v>
      </c>
      <c r="D209" s="131">
        <f ca="1">IFERROR(__xludf.DUMMYFUNCTION("""COMPUTED_VALUE"""),210)</f>
        <v>210</v>
      </c>
      <c r="E209" s="131"/>
      <c r="F209" s="132" t="str">
        <f ca="1">IFERROR(__xludf.DUMMYFUNCTION("""COMPUTED_VALUE"""),"ГОСТ 5632/25054,  УЗК,обточ, ков")</f>
        <v>ГОСТ 5632/25054,  УЗК,обточ, ков</v>
      </c>
      <c r="G209" s="133">
        <f ca="1">IFERROR(__xludf.DUMMYFUNCTION("""COMPUTED_VALUE"""),0.885)</f>
        <v>0.88500000000000001</v>
      </c>
      <c r="H209" s="133"/>
      <c r="I209" s="134">
        <f ca="1">IFERROR(__xludf.DUMMYFUNCTION("""COMPUTED_VALUE"""),1200000)</f>
        <v>1200000</v>
      </c>
    </row>
    <row r="210" spans="2:9" x14ac:dyDescent="0.3">
      <c r="B210" s="130" t="str">
        <f ca="1">IFERROR(__xludf.DUMMYFUNCTION("""COMPUTED_VALUE"""),"круг")</f>
        <v>круг</v>
      </c>
      <c r="C210" s="125" t="str">
        <f ca="1">IFERROR(__xludf.DUMMYFUNCTION("""COMPUTED_VALUE"""),"07х16н4Б-Ш")</f>
        <v>07х16н4Б-Ш</v>
      </c>
      <c r="D210" s="131">
        <f ca="1">IFERROR(__xludf.DUMMYFUNCTION("""COMPUTED_VALUE"""),220)</f>
        <v>220</v>
      </c>
      <c r="E210" s="131"/>
      <c r="F210" s="132" t="str">
        <f ca="1">IFERROR(__xludf.DUMMYFUNCTION("""COMPUTED_VALUE"""),"ГОСТ 5632/25054,  УЗК,обточ, ков")</f>
        <v>ГОСТ 5632/25054,  УЗК,обточ, ков</v>
      </c>
      <c r="G210" s="133">
        <f ca="1">IFERROR(__xludf.DUMMYFUNCTION("""COMPUTED_VALUE"""),1.27)</f>
        <v>1.27</v>
      </c>
      <c r="H210" s="133"/>
      <c r="I210" s="134">
        <f ca="1">IFERROR(__xludf.DUMMYFUNCTION("""COMPUTED_VALUE"""),1200000)</f>
        <v>1200000</v>
      </c>
    </row>
    <row r="211" spans="2:9" x14ac:dyDescent="0.3">
      <c r="B211" s="130" t="str">
        <f ca="1">IFERROR(__xludf.DUMMYFUNCTION("""COMPUTED_VALUE"""),"круг")</f>
        <v>круг</v>
      </c>
      <c r="C211" s="125" t="str">
        <f ca="1">IFERROR(__xludf.DUMMYFUNCTION("""COMPUTED_VALUE"""),"07х16н4Б-Ш")</f>
        <v>07х16н4Б-Ш</v>
      </c>
      <c r="D211" s="131">
        <f ca="1">IFERROR(__xludf.DUMMYFUNCTION("""COMPUTED_VALUE"""),220)</f>
        <v>220</v>
      </c>
      <c r="E211" s="131"/>
      <c r="F211" s="132" t="str">
        <f ca="1">IFERROR(__xludf.DUMMYFUNCTION("""COMPUTED_VALUE"""),"ГОСТ 5632/25054,  УЗК,обточ, ков")</f>
        <v>ГОСТ 5632/25054,  УЗК,обточ, ков</v>
      </c>
      <c r="G211" s="133">
        <f ca="1">IFERROR(__xludf.DUMMYFUNCTION("""COMPUTED_VALUE"""),1.36)</f>
        <v>1.36</v>
      </c>
      <c r="H211" s="133"/>
      <c r="I211" s="134">
        <f ca="1">IFERROR(__xludf.DUMMYFUNCTION("""COMPUTED_VALUE"""),1200000)</f>
        <v>1200000</v>
      </c>
    </row>
    <row r="212" spans="2:9" x14ac:dyDescent="0.3">
      <c r="B212" s="130" t="str">
        <f ca="1">IFERROR(__xludf.DUMMYFUNCTION("""COMPUTED_VALUE"""),"круг")</f>
        <v>круг</v>
      </c>
      <c r="C212" s="125" t="str">
        <f ca="1">IFERROR(__xludf.DUMMYFUNCTION("""COMPUTED_VALUE"""),"07х16н4Б")</f>
        <v>07х16н4Б</v>
      </c>
      <c r="D212" s="131">
        <f ca="1">IFERROR(__xludf.DUMMYFUNCTION("""COMPUTED_VALUE"""),230)</f>
        <v>230</v>
      </c>
      <c r="E212" s="131"/>
      <c r="F212" s="132" t="str">
        <f ca="1">IFERROR(__xludf.DUMMYFUNCTION("""COMPUTED_VALUE"""),"ГОСТ 5632/25054,  УЗК,обточ, ков")</f>
        <v>ГОСТ 5632/25054,  УЗК,обточ, ков</v>
      </c>
      <c r="G212" s="133">
        <f ca="1">IFERROR(__xludf.DUMMYFUNCTION("""COMPUTED_VALUE"""),3)</f>
        <v>3</v>
      </c>
      <c r="H212" s="133"/>
      <c r="I212" s="134">
        <f ca="1">IFERROR(__xludf.DUMMYFUNCTION("""COMPUTED_VALUE"""),950000)</f>
        <v>950000</v>
      </c>
    </row>
    <row r="213" spans="2:9" x14ac:dyDescent="0.3">
      <c r="B213" s="130" t="str">
        <f ca="1">IFERROR(__xludf.DUMMYFUNCTION("""COMPUTED_VALUE"""),"круг")</f>
        <v>круг</v>
      </c>
      <c r="C213" s="125" t="str">
        <f ca="1">IFERROR(__xludf.DUMMYFUNCTION("""COMPUTED_VALUE"""),"07х16н4Б-Ш")</f>
        <v>07х16н4Б-Ш</v>
      </c>
      <c r="D213" s="131">
        <f ca="1">IFERROR(__xludf.DUMMYFUNCTION("""COMPUTED_VALUE"""),230)</f>
        <v>230</v>
      </c>
      <c r="E213" s="131"/>
      <c r="F213" s="132" t="str">
        <f ca="1">IFERROR(__xludf.DUMMYFUNCTION("""COMPUTED_VALUE"""),"ГОСТ 5632/25054,  УЗК,обточ, ков")</f>
        <v>ГОСТ 5632/25054,  УЗК,обточ, ков</v>
      </c>
      <c r="G213" s="133">
        <f ca="1">IFERROR(__xludf.DUMMYFUNCTION("""COMPUTED_VALUE"""),1.24)</f>
        <v>1.24</v>
      </c>
      <c r="H213" s="133"/>
      <c r="I213" s="134">
        <f ca="1">IFERROR(__xludf.DUMMYFUNCTION("""COMPUTED_VALUE"""),1200000)</f>
        <v>1200000</v>
      </c>
    </row>
    <row r="214" spans="2:9" x14ac:dyDescent="0.3">
      <c r="B214" s="130" t="str">
        <f ca="1">IFERROR(__xludf.DUMMYFUNCTION("""COMPUTED_VALUE"""),"круг")</f>
        <v>круг</v>
      </c>
      <c r="C214" s="125" t="str">
        <f ca="1">IFERROR(__xludf.DUMMYFUNCTION("""COMPUTED_VALUE"""),"07х16н4Б-Ш")</f>
        <v>07х16н4Б-Ш</v>
      </c>
      <c r="D214" s="131">
        <f ca="1">IFERROR(__xludf.DUMMYFUNCTION("""COMPUTED_VALUE"""),230)</f>
        <v>230</v>
      </c>
      <c r="E214" s="131"/>
      <c r="F214" s="132" t="str">
        <f ca="1">IFERROR(__xludf.DUMMYFUNCTION("""COMPUTED_VALUE"""),"ГОСТ 5632/25054,  УЗК,обточ, ков")</f>
        <v>ГОСТ 5632/25054,  УЗК,обточ, ков</v>
      </c>
      <c r="G214" s="133">
        <f ca="1">IFERROR(__xludf.DUMMYFUNCTION("""COMPUTED_VALUE"""),1.635)</f>
        <v>1.635</v>
      </c>
      <c r="H214" s="133"/>
      <c r="I214" s="134">
        <f ca="1">IFERROR(__xludf.DUMMYFUNCTION("""COMPUTED_VALUE"""),1200000)</f>
        <v>1200000</v>
      </c>
    </row>
    <row r="215" spans="2:9" x14ac:dyDescent="0.3">
      <c r="B215" s="130" t="str">
        <f ca="1">IFERROR(__xludf.DUMMYFUNCTION("""COMPUTED_VALUE"""),"круг")</f>
        <v>круг</v>
      </c>
      <c r="C215" s="125" t="str">
        <f ca="1">IFERROR(__xludf.DUMMYFUNCTION("""COMPUTED_VALUE"""),"07х16н4Б-Ш")</f>
        <v>07х16н4Б-Ш</v>
      </c>
      <c r="D215" s="131">
        <f ca="1">IFERROR(__xludf.DUMMYFUNCTION("""COMPUTED_VALUE"""),240)</f>
        <v>240</v>
      </c>
      <c r="E215" s="131"/>
      <c r="F215" s="132" t="str">
        <f ca="1">IFERROR(__xludf.DUMMYFUNCTION("""COMPUTED_VALUE"""),"ГОСТ 5632/25054,  УЗК,обточ, ков")</f>
        <v>ГОСТ 5632/25054,  УЗК,обточ, ков</v>
      </c>
      <c r="G215" s="133">
        <f ca="1">IFERROR(__xludf.DUMMYFUNCTION("""COMPUTED_VALUE"""),1.551)</f>
        <v>1.5509999999999999</v>
      </c>
      <c r="H215" s="133"/>
      <c r="I215" s="134">
        <f ca="1">IFERROR(__xludf.DUMMYFUNCTION("""COMPUTED_VALUE"""),1200000)</f>
        <v>1200000</v>
      </c>
    </row>
    <row r="216" spans="2:9" x14ac:dyDescent="0.3">
      <c r="B216" s="130" t="str">
        <f ca="1">IFERROR(__xludf.DUMMYFUNCTION("""COMPUTED_VALUE"""),"круг")</f>
        <v>круг</v>
      </c>
      <c r="C216" s="125" t="str">
        <f ca="1">IFERROR(__xludf.DUMMYFUNCTION("""COMPUTED_VALUE"""),"07х16н4Б-Ш")</f>
        <v>07х16н4Б-Ш</v>
      </c>
      <c r="D216" s="131">
        <f ca="1">IFERROR(__xludf.DUMMYFUNCTION("""COMPUTED_VALUE"""),240)</f>
        <v>240</v>
      </c>
      <c r="E216" s="131"/>
      <c r="F216" s="132" t="str">
        <f ca="1">IFERROR(__xludf.DUMMYFUNCTION("""COMPUTED_VALUE"""),"ГОСТ 5632/25054,  УЗК,обточ, ков")</f>
        <v>ГОСТ 5632/25054,  УЗК,обточ, ков</v>
      </c>
      <c r="G216" s="133">
        <f ca="1">IFERROR(__xludf.DUMMYFUNCTION("""COMPUTED_VALUE"""),1.68)</f>
        <v>1.68</v>
      </c>
      <c r="H216" s="133"/>
      <c r="I216" s="134">
        <f ca="1">IFERROR(__xludf.DUMMYFUNCTION("""COMPUTED_VALUE"""),1200000)</f>
        <v>1200000</v>
      </c>
    </row>
    <row r="217" spans="2:9" x14ac:dyDescent="0.3">
      <c r="B217" s="130" t="str">
        <f ca="1">IFERROR(__xludf.DUMMYFUNCTION("""COMPUTED_VALUE"""),"круг")</f>
        <v>круг</v>
      </c>
      <c r="C217" s="125" t="str">
        <f ca="1">IFERROR(__xludf.DUMMYFUNCTION("""COMPUTED_VALUE"""),"07х16н4Б-Ш")</f>
        <v>07х16н4Б-Ш</v>
      </c>
      <c r="D217" s="131">
        <f ca="1">IFERROR(__xludf.DUMMYFUNCTION("""COMPUTED_VALUE"""),250)</f>
        <v>250</v>
      </c>
      <c r="E217" s="131"/>
      <c r="F217" s="132" t="str">
        <f ca="1">IFERROR(__xludf.DUMMYFUNCTION("""COMPUTED_VALUE"""),"ГОСТ 5632/25054,  УЗК,обточ, ков")</f>
        <v>ГОСТ 5632/25054,  УЗК,обточ, ков</v>
      </c>
      <c r="G217" s="133">
        <f ca="1">IFERROR(__xludf.DUMMYFUNCTION("""COMPUTED_VALUE"""),1.675)</f>
        <v>1.675</v>
      </c>
      <c r="H217" s="133"/>
      <c r="I217" s="134">
        <f ca="1">IFERROR(__xludf.DUMMYFUNCTION("""COMPUTED_VALUE"""),1200000)</f>
        <v>1200000</v>
      </c>
    </row>
    <row r="218" spans="2:9" x14ac:dyDescent="0.3">
      <c r="B218" s="130" t="str">
        <f ca="1">IFERROR(__xludf.DUMMYFUNCTION("""COMPUTED_VALUE"""),"круг")</f>
        <v>круг</v>
      </c>
      <c r="C218" s="125" t="str">
        <f ca="1">IFERROR(__xludf.DUMMYFUNCTION("""COMPUTED_VALUE"""),"07х16н4Б-Ш")</f>
        <v>07х16н4Б-Ш</v>
      </c>
      <c r="D218" s="131">
        <f ca="1">IFERROR(__xludf.DUMMYFUNCTION("""COMPUTED_VALUE"""),250)</f>
        <v>250</v>
      </c>
      <c r="E218" s="131"/>
      <c r="F218" s="132" t="str">
        <f ca="1">IFERROR(__xludf.DUMMYFUNCTION("""COMPUTED_VALUE"""),"ГОСТ 5632/25054,  УЗК,обточ, ков")</f>
        <v>ГОСТ 5632/25054,  УЗК,обточ, ков</v>
      </c>
      <c r="G218" s="133">
        <f ca="1">IFERROR(__xludf.DUMMYFUNCTION("""COMPUTED_VALUE"""),1.705)</f>
        <v>1.7050000000000001</v>
      </c>
      <c r="H218" s="133"/>
      <c r="I218" s="134">
        <f ca="1">IFERROR(__xludf.DUMMYFUNCTION("""COMPUTED_VALUE"""),1200000)</f>
        <v>1200000</v>
      </c>
    </row>
    <row r="219" spans="2:9" x14ac:dyDescent="0.3">
      <c r="B219" s="130" t="str">
        <f ca="1">IFERROR(__xludf.DUMMYFUNCTION("""COMPUTED_VALUE"""),"круг")</f>
        <v>круг</v>
      </c>
      <c r="C219" s="125" t="str">
        <f ca="1">IFERROR(__xludf.DUMMYFUNCTION("""COMPUTED_VALUE"""),"07х16н4Б")</f>
        <v>07х16н4Б</v>
      </c>
      <c r="D219" s="131">
        <f ca="1">IFERROR(__xludf.DUMMYFUNCTION("""COMPUTED_VALUE"""),250)</f>
        <v>250</v>
      </c>
      <c r="E219" s="131"/>
      <c r="F219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3">
        <f ca="1">IFERROR(__xludf.DUMMYFUNCTION("""COMPUTED_VALUE"""),0.229)</f>
        <v>0.22900000000000001</v>
      </c>
      <c r="H219" s="133"/>
      <c r="I219" s="134">
        <f ca="1">IFERROR(__xludf.DUMMYFUNCTION("""COMPUTED_VALUE"""),1150000)</f>
        <v>1150000</v>
      </c>
    </row>
    <row r="220" spans="2:9" x14ac:dyDescent="0.3">
      <c r="B220" s="130" t="str">
        <f ca="1">IFERROR(__xludf.DUMMYFUNCTION("""COMPUTED_VALUE"""),"круг")</f>
        <v>круг</v>
      </c>
      <c r="C220" s="125" t="str">
        <f ca="1">IFERROR(__xludf.DUMMYFUNCTION("""COMPUTED_VALUE"""),"07х16н4Б-Ш")</f>
        <v>07х16н4Б-Ш</v>
      </c>
      <c r="D220" s="131">
        <f ca="1">IFERROR(__xludf.DUMMYFUNCTION("""COMPUTED_VALUE"""),270)</f>
        <v>270</v>
      </c>
      <c r="E220" s="131"/>
      <c r="F220" s="132" t="str">
        <f ca="1">IFERROR(__xludf.DUMMYFUNCTION("""COMPUTED_VALUE"""),"ГОСТ 5632/25054,  УЗК,обточ, ков")</f>
        <v>ГОСТ 5632/25054,  УЗК,обточ, ков</v>
      </c>
      <c r="G220" s="133">
        <f ca="1">IFERROR(__xludf.DUMMYFUNCTION("""COMPUTED_VALUE"""),1.045)</f>
        <v>1.0449999999999999</v>
      </c>
      <c r="H220" s="133"/>
      <c r="I220" s="134">
        <f ca="1">IFERROR(__xludf.DUMMYFUNCTION("""COMPUTED_VALUE"""),1200000)</f>
        <v>1200000</v>
      </c>
    </row>
    <row r="221" spans="2:9" x14ac:dyDescent="0.3">
      <c r="B221" s="130" t="str">
        <f ca="1">IFERROR(__xludf.DUMMYFUNCTION("""COMPUTED_VALUE"""),"круг")</f>
        <v>круг</v>
      </c>
      <c r="C221" s="125" t="str">
        <f ca="1">IFERROR(__xludf.DUMMYFUNCTION("""COMPUTED_VALUE"""),"07х16н4Б-Ш")</f>
        <v>07х16н4Б-Ш</v>
      </c>
      <c r="D221" s="131">
        <f ca="1">IFERROR(__xludf.DUMMYFUNCTION("""COMPUTED_VALUE"""),270)</f>
        <v>270</v>
      </c>
      <c r="E221" s="131"/>
      <c r="F221" s="132" t="str">
        <f ca="1">IFERROR(__xludf.DUMMYFUNCTION("""COMPUTED_VALUE"""),"ГОСТ 5632/25054,  УЗК,обточ, ков")</f>
        <v>ГОСТ 5632/25054,  УЗК,обточ, ков</v>
      </c>
      <c r="G221" s="133">
        <f ca="1">IFERROR(__xludf.DUMMYFUNCTION("""COMPUTED_VALUE"""),1.515)</f>
        <v>1.5149999999999999</v>
      </c>
      <c r="H221" s="133"/>
      <c r="I221" s="134">
        <f ca="1">IFERROR(__xludf.DUMMYFUNCTION("""COMPUTED_VALUE"""),1200000)</f>
        <v>1200000</v>
      </c>
    </row>
    <row r="222" spans="2:9" x14ac:dyDescent="0.3">
      <c r="B222" s="130" t="str">
        <f ca="1">IFERROR(__xludf.DUMMYFUNCTION("""COMPUTED_VALUE"""),"круг")</f>
        <v>круг</v>
      </c>
      <c r="C222" s="125" t="str">
        <f ca="1">IFERROR(__xludf.DUMMYFUNCTION("""COMPUTED_VALUE"""),"07х16н4Б")</f>
        <v>07х16н4Б</v>
      </c>
      <c r="D222" s="131">
        <f ca="1">IFERROR(__xludf.DUMMYFUNCTION("""COMPUTED_VALUE"""),270)</f>
        <v>270</v>
      </c>
      <c r="E222" s="131"/>
      <c r="F222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3">
        <f ca="1">IFERROR(__xludf.DUMMYFUNCTION("""COMPUTED_VALUE"""),0.0489999999999999)</f>
        <v>4.8999999999999898E-2</v>
      </c>
      <c r="H222" s="133"/>
      <c r="I222" s="134">
        <f ca="1">IFERROR(__xludf.DUMMYFUNCTION("""COMPUTED_VALUE"""),1150000)</f>
        <v>1150000</v>
      </c>
    </row>
    <row r="223" spans="2:9" x14ac:dyDescent="0.3">
      <c r="B223" s="130" t="str">
        <f ca="1">IFERROR(__xludf.DUMMYFUNCTION("""COMPUTED_VALUE"""),"круг")</f>
        <v>круг</v>
      </c>
      <c r="C223" s="125" t="str">
        <f ca="1">IFERROR(__xludf.DUMMYFUNCTION("""COMPUTED_VALUE"""),"07х16н4Б-Ш")</f>
        <v>07х16н4Б-Ш</v>
      </c>
      <c r="D223" s="131">
        <f ca="1">IFERROR(__xludf.DUMMYFUNCTION("""COMPUTED_VALUE"""),280)</f>
        <v>280</v>
      </c>
      <c r="E223" s="131"/>
      <c r="F223" s="132" t="str">
        <f ca="1">IFERROR(__xludf.DUMMYFUNCTION("""COMPUTED_VALUE"""),"ГОСТ 5632/25054,  УЗК,обточ, ков")</f>
        <v>ГОСТ 5632/25054,  УЗК,обточ, ков</v>
      </c>
      <c r="G223" s="133">
        <f ca="1">IFERROR(__xludf.DUMMYFUNCTION("""COMPUTED_VALUE"""),0.876)</f>
        <v>0.876</v>
      </c>
      <c r="H223" s="133"/>
      <c r="I223" s="134">
        <f ca="1">IFERROR(__xludf.DUMMYFUNCTION("""COMPUTED_VALUE"""),1200000)</f>
        <v>1200000</v>
      </c>
    </row>
    <row r="224" spans="2:9" x14ac:dyDescent="0.3">
      <c r="B224" s="130" t="str">
        <f ca="1">IFERROR(__xludf.DUMMYFUNCTION("""COMPUTED_VALUE"""),"круг")</f>
        <v>круг</v>
      </c>
      <c r="C224" s="125" t="str">
        <f ca="1">IFERROR(__xludf.DUMMYFUNCTION("""COMPUTED_VALUE"""),"07х16н4Б-Ш")</f>
        <v>07х16н4Б-Ш</v>
      </c>
      <c r="D224" s="131">
        <f ca="1">IFERROR(__xludf.DUMMYFUNCTION("""COMPUTED_VALUE"""),280)</f>
        <v>280</v>
      </c>
      <c r="E224" s="131"/>
      <c r="F224" s="132" t="str">
        <f ca="1">IFERROR(__xludf.DUMMYFUNCTION("""COMPUTED_VALUE"""),"ГОСТ 5632/25054,  УЗК,обточ, ков")</f>
        <v>ГОСТ 5632/25054,  УЗК,обточ, ков</v>
      </c>
      <c r="G224" s="133">
        <f ca="1">IFERROR(__xludf.DUMMYFUNCTION("""COMPUTED_VALUE"""),1.77)</f>
        <v>1.77</v>
      </c>
      <c r="H224" s="133"/>
      <c r="I224" s="134">
        <f ca="1">IFERROR(__xludf.DUMMYFUNCTION("""COMPUTED_VALUE"""),1200000)</f>
        <v>1200000</v>
      </c>
    </row>
    <row r="225" spans="2:9" x14ac:dyDescent="0.3">
      <c r="B225" s="130" t="str">
        <f ca="1">IFERROR(__xludf.DUMMYFUNCTION("""COMPUTED_VALUE"""),"круг")</f>
        <v>круг</v>
      </c>
      <c r="C225" s="125" t="str">
        <f ca="1">IFERROR(__xludf.DUMMYFUNCTION("""COMPUTED_VALUE"""),"07х16н4Б")</f>
        <v>07х16н4Б</v>
      </c>
      <c r="D225" s="131">
        <f ca="1">IFERROR(__xludf.DUMMYFUNCTION("""COMPUTED_VALUE"""),300)</f>
        <v>300</v>
      </c>
      <c r="E225" s="131"/>
      <c r="F225" s="132" t="str">
        <f ca="1">IFERROR(__xludf.DUMMYFUNCTION("""COMPUTED_VALUE"""),"ГОСТ 5632/25054,  УЗК,обточ, ков")</f>
        <v>ГОСТ 5632/25054,  УЗК,обточ, ков</v>
      </c>
      <c r="G225" s="133">
        <f ca="1">IFERROR(__xludf.DUMMYFUNCTION("""COMPUTED_VALUE"""),0.129999999999999)</f>
        <v>0.12999999999999901</v>
      </c>
      <c r="H225" s="133"/>
      <c r="I225" s="134">
        <f ca="1">IFERROR(__xludf.DUMMYFUNCTION("""COMPUTED_VALUE"""),1150000)</f>
        <v>1150000</v>
      </c>
    </row>
    <row r="226" spans="2:9" x14ac:dyDescent="0.3">
      <c r="B226" s="130" t="str">
        <f ca="1">IFERROR(__xludf.DUMMYFUNCTION("""COMPUTED_VALUE"""),"круг")</f>
        <v>круг</v>
      </c>
      <c r="C226" s="125" t="str">
        <f ca="1">IFERROR(__xludf.DUMMYFUNCTION("""COMPUTED_VALUE"""),"07х16н4Б")</f>
        <v>07х16н4Б</v>
      </c>
      <c r="D226" s="131">
        <f ca="1">IFERROR(__xludf.DUMMYFUNCTION("""COMPUTED_VALUE"""),320)</f>
        <v>320</v>
      </c>
      <c r="E226" s="131"/>
      <c r="F226" s="132" t="str">
        <f ca="1">IFERROR(__xludf.DUMMYFUNCTION("""COMPUTED_VALUE"""),"ту 14-1-3573-83, УЗК,обточ, ков")</f>
        <v>ту 14-1-3573-83, УЗК,обточ, ков</v>
      </c>
      <c r="G226" s="133">
        <f ca="1">IFERROR(__xludf.DUMMYFUNCTION("""COMPUTED_VALUE"""),0.0859999999999998)</f>
        <v>8.5999999999999799E-2</v>
      </c>
      <c r="H226" s="133"/>
      <c r="I226" s="134">
        <f ca="1">IFERROR(__xludf.DUMMYFUNCTION("""COMPUTED_VALUE"""),1150000)</f>
        <v>1150000</v>
      </c>
    </row>
    <row r="227" spans="2:9" x14ac:dyDescent="0.3">
      <c r="B227" s="130" t="str">
        <f ca="1">IFERROR(__xludf.DUMMYFUNCTION("""COMPUTED_VALUE"""),"круг")</f>
        <v>круг</v>
      </c>
      <c r="C227" s="125" t="str">
        <f ca="1">IFERROR(__xludf.DUMMYFUNCTION("""COMPUTED_VALUE"""),"07х16н4Б")</f>
        <v>07х16н4Б</v>
      </c>
      <c r="D227" s="131">
        <f ca="1">IFERROR(__xludf.DUMMYFUNCTION("""COMPUTED_VALUE"""),350)</f>
        <v>350</v>
      </c>
      <c r="E227" s="131"/>
      <c r="F227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3">
        <f ca="1">IFERROR(__xludf.DUMMYFUNCTION("""COMPUTED_VALUE"""),1.70199999999999)</f>
        <v>1.70199999999999</v>
      </c>
      <c r="H227" s="133"/>
      <c r="I227" s="134">
        <f ca="1">IFERROR(__xludf.DUMMYFUNCTION("""COMPUTED_VALUE"""),1150000)</f>
        <v>1150000</v>
      </c>
    </row>
    <row r="228" spans="2:9" x14ac:dyDescent="0.3">
      <c r="B228" s="130" t="str">
        <f ca="1">IFERROR(__xludf.DUMMYFUNCTION("""COMPUTED_VALUE"""),"круг")</f>
        <v>круг</v>
      </c>
      <c r="C228" s="125" t="str">
        <f ca="1">IFERROR(__xludf.DUMMYFUNCTION("""COMPUTED_VALUE"""),"07х16н4Б")</f>
        <v>07х16н4Б</v>
      </c>
      <c r="D228" s="131">
        <f ca="1">IFERROR(__xludf.DUMMYFUNCTION("""COMPUTED_VALUE"""),350)</f>
        <v>350</v>
      </c>
      <c r="E228" s="131"/>
      <c r="F228" s="132" t="str">
        <f ca="1">IFERROR(__xludf.DUMMYFUNCTION("""COMPUTED_VALUE"""),"гост 25054, гр1, гост 5632-72")</f>
        <v>гост 25054, гр1, гост 5632-72</v>
      </c>
      <c r="G228" s="133">
        <f ca="1">IFERROR(__xludf.DUMMYFUNCTION("""COMPUTED_VALUE"""),0.254)</f>
        <v>0.254</v>
      </c>
      <c r="H228" s="133"/>
      <c r="I228" s="134">
        <f ca="1">IFERROR(__xludf.DUMMYFUNCTION("""COMPUTED_VALUE"""),780000)</f>
        <v>780000</v>
      </c>
    </row>
    <row r="229" spans="2:9" x14ac:dyDescent="0.3">
      <c r="B229" s="130" t="str">
        <f ca="1">IFERROR(__xludf.DUMMYFUNCTION("""COMPUTED_VALUE"""),"круг")</f>
        <v>круг</v>
      </c>
      <c r="C229" s="125" t="str">
        <f ca="1">IFERROR(__xludf.DUMMYFUNCTION("""COMPUTED_VALUE"""),"07х16н4Б")</f>
        <v>07х16н4Б</v>
      </c>
      <c r="D229" s="131">
        <f ca="1">IFERROR(__xludf.DUMMYFUNCTION("""COMPUTED_VALUE"""),360)</f>
        <v>360</v>
      </c>
      <c r="E229" s="131"/>
      <c r="F229" s="132" t="str">
        <f ca="1">IFERROR(__xludf.DUMMYFUNCTION("""COMPUTED_VALUE"""),"ГОСТ 5632/25054,  УЗК,обточ, ков")</f>
        <v>ГОСТ 5632/25054,  УЗК,обточ, ков</v>
      </c>
      <c r="G229" s="133">
        <f ca="1">IFERROR(__xludf.DUMMYFUNCTION("""COMPUTED_VALUE"""),1.564)</f>
        <v>1.5640000000000001</v>
      </c>
      <c r="H229" s="133"/>
      <c r="I229" s="134">
        <f ca="1">IFERROR(__xludf.DUMMYFUNCTION("""COMPUTED_VALUE"""),1025000)</f>
        <v>1025000</v>
      </c>
    </row>
    <row r="230" spans="2:9" x14ac:dyDescent="0.3">
      <c r="B230" s="130" t="str">
        <f ca="1">IFERROR(__xludf.DUMMYFUNCTION("""COMPUTED_VALUE"""),"круг")</f>
        <v>круг</v>
      </c>
      <c r="C230" s="125" t="str">
        <f ca="1">IFERROR(__xludf.DUMMYFUNCTION("""COMPUTED_VALUE"""),"07х16н4Б")</f>
        <v>07х16н4Б</v>
      </c>
      <c r="D230" s="131">
        <f ca="1">IFERROR(__xludf.DUMMYFUNCTION("""COMPUTED_VALUE"""),370)</f>
        <v>370</v>
      </c>
      <c r="E230" s="131"/>
      <c r="F230" s="132" t="str">
        <f ca="1">IFERROR(__xludf.DUMMYFUNCTION("""COMPUTED_VALUE"""),"ГОСТ 5632/25054,  УЗК,обточ, ков")</f>
        <v>ГОСТ 5632/25054,  УЗК,обточ, ков</v>
      </c>
      <c r="G230" s="133">
        <f ca="1">IFERROR(__xludf.DUMMYFUNCTION("""COMPUTED_VALUE"""),5.275)</f>
        <v>5.2750000000000004</v>
      </c>
      <c r="H230" s="133"/>
      <c r="I230" s="134">
        <f ca="1">IFERROR(__xludf.DUMMYFUNCTION("""COMPUTED_VALUE"""),1025000)</f>
        <v>1025000</v>
      </c>
    </row>
    <row r="231" spans="2:9" x14ac:dyDescent="0.3">
      <c r="B231" s="130" t="str">
        <f ca="1">IFERROR(__xludf.DUMMYFUNCTION("""COMPUTED_VALUE"""),"круг")</f>
        <v>круг</v>
      </c>
      <c r="C231" s="125" t="str">
        <f ca="1">IFERROR(__xludf.DUMMYFUNCTION("""COMPUTED_VALUE"""),"07х16н4Б")</f>
        <v>07х16н4Б</v>
      </c>
      <c r="D231" s="131">
        <f ca="1">IFERROR(__xludf.DUMMYFUNCTION("""COMPUTED_VALUE"""),380)</f>
        <v>380</v>
      </c>
      <c r="E231" s="131"/>
      <c r="F231" s="132" t="str">
        <f ca="1">IFERROR(__xludf.DUMMYFUNCTION("""COMPUTED_VALUE"""),"ГОСТ 5632/25054,  УЗК,обточ, ков")</f>
        <v>ГОСТ 5632/25054,  УЗК,обточ, ков</v>
      </c>
      <c r="G231" s="133">
        <f ca="1">IFERROR(__xludf.DUMMYFUNCTION("""COMPUTED_VALUE"""),3.029)</f>
        <v>3.0289999999999999</v>
      </c>
      <c r="H231" s="133"/>
      <c r="I231" s="134">
        <f ca="1">IFERROR(__xludf.DUMMYFUNCTION("""COMPUTED_VALUE"""),1100000)</f>
        <v>1100000</v>
      </c>
    </row>
    <row r="232" spans="2:9" x14ac:dyDescent="0.3">
      <c r="B232" s="130" t="str">
        <f ca="1">IFERROR(__xludf.DUMMYFUNCTION("""COMPUTED_VALUE"""),"круг")</f>
        <v>круг</v>
      </c>
      <c r="C232" s="125" t="str">
        <f ca="1">IFERROR(__xludf.DUMMYFUNCTION("""COMPUTED_VALUE"""),"07х16н4Б")</f>
        <v>07х16н4Б</v>
      </c>
      <c r="D232" s="131">
        <f ca="1">IFERROR(__xludf.DUMMYFUNCTION("""COMPUTED_VALUE"""),380)</f>
        <v>380</v>
      </c>
      <c r="E232" s="131"/>
      <c r="F232" s="132" t="str">
        <f ca="1">IFERROR(__xludf.DUMMYFUNCTION("""COMPUTED_VALUE"""),"ГОСТ 5632/25054,  УЗК,обточ, ков")</f>
        <v>ГОСТ 5632/25054,  УЗК,обточ, ков</v>
      </c>
      <c r="G232" s="133">
        <f ca="1">IFERROR(__xludf.DUMMYFUNCTION("""COMPUTED_VALUE"""),2.975)</f>
        <v>2.9750000000000001</v>
      </c>
      <c r="H232" s="133"/>
      <c r="I232" s="134">
        <f ca="1">IFERROR(__xludf.DUMMYFUNCTION("""COMPUTED_VALUE"""),1100000)</f>
        <v>1100000</v>
      </c>
    </row>
    <row r="233" spans="2:9" x14ac:dyDescent="0.3">
      <c r="B233" s="130" t="str">
        <f ca="1">IFERROR(__xludf.DUMMYFUNCTION("""COMPUTED_VALUE"""),"круг")</f>
        <v>круг</v>
      </c>
      <c r="C233" s="125" t="str">
        <f ca="1">IFERROR(__xludf.DUMMYFUNCTION("""COMPUTED_VALUE"""),"07х16н4Б")</f>
        <v>07х16н4Б</v>
      </c>
      <c r="D233" s="131">
        <f ca="1">IFERROR(__xludf.DUMMYFUNCTION("""COMPUTED_VALUE"""),400)</f>
        <v>400</v>
      </c>
      <c r="E233" s="131"/>
      <c r="F233" s="132" t="str">
        <f ca="1">IFERROR(__xludf.DUMMYFUNCTION("""COMPUTED_VALUE"""),"ГОСТ 5632/25054,  УЗК,обточ, ков")</f>
        <v>ГОСТ 5632/25054,  УЗК,обточ, ков</v>
      </c>
      <c r="G233" s="133">
        <f ca="1">IFERROR(__xludf.DUMMYFUNCTION("""COMPUTED_VALUE"""),3.336)</f>
        <v>3.3359999999999999</v>
      </c>
      <c r="H233" s="133"/>
      <c r="I233" s="134">
        <f ca="1">IFERROR(__xludf.DUMMYFUNCTION("""COMPUTED_VALUE"""),1150000)</f>
        <v>1150000</v>
      </c>
    </row>
    <row r="234" spans="2:9" x14ac:dyDescent="0.3">
      <c r="B234" s="130" t="str">
        <f ca="1">IFERROR(__xludf.DUMMYFUNCTION("""COMPUTED_VALUE"""),"круг")</f>
        <v>круг</v>
      </c>
      <c r="C234" s="125" t="str">
        <f ca="1">IFERROR(__xludf.DUMMYFUNCTION("""COMPUTED_VALUE"""),"07х16н4Б")</f>
        <v>07х16н4Б</v>
      </c>
      <c r="D234" s="131">
        <f ca="1">IFERROR(__xludf.DUMMYFUNCTION("""COMPUTED_VALUE"""),400)</f>
        <v>400</v>
      </c>
      <c r="E234" s="131"/>
      <c r="F234" s="132" t="str">
        <f ca="1">IFERROR(__xludf.DUMMYFUNCTION("""COMPUTED_VALUE"""),"ГОСТ 5632/25054, УЗК,обточ, ков")</f>
        <v>ГОСТ 5632/25054, УЗК,обточ, ков</v>
      </c>
      <c r="G234" s="133">
        <f ca="1">IFERROR(__xludf.DUMMYFUNCTION("""COMPUTED_VALUE"""),4.545)</f>
        <v>4.5449999999999999</v>
      </c>
      <c r="H234" s="133"/>
      <c r="I234" s="134">
        <f ca="1">IFERROR(__xludf.DUMMYFUNCTION("""COMPUTED_VALUE"""),1150000)</f>
        <v>1150000</v>
      </c>
    </row>
    <row r="235" spans="2:9" x14ac:dyDescent="0.3">
      <c r="B235" s="130" t="str">
        <f ca="1">IFERROR(__xludf.DUMMYFUNCTION("""COMPUTED_VALUE"""),"круг")</f>
        <v>круг</v>
      </c>
      <c r="C235" s="125" t="str">
        <f ca="1">IFERROR(__xludf.DUMMYFUNCTION("""COMPUTED_VALUE"""),"07х16н4Б")</f>
        <v>07х16н4Б</v>
      </c>
      <c r="D235" s="131">
        <f ca="1">IFERROR(__xludf.DUMMYFUNCTION("""COMPUTED_VALUE"""),430)</f>
        <v>430</v>
      </c>
      <c r="E235" s="131"/>
      <c r="F235" s="132" t="str">
        <f ca="1">IFERROR(__xludf.DUMMYFUNCTION("""COMPUTED_VALUE"""),"ГОСТ 5632/25054,  УЗК,обточ, ков")</f>
        <v>ГОСТ 5632/25054,  УЗК,обточ, ков</v>
      </c>
      <c r="G235" s="133">
        <f ca="1">IFERROR(__xludf.DUMMYFUNCTION("""COMPUTED_VALUE"""),2.221)</f>
        <v>2.2210000000000001</v>
      </c>
      <c r="H235" s="133"/>
      <c r="I235" s="134">
        <f ca="1">IFERROR(__xludf.DUMMYFUNCTION("""COMPUTED_VALUE"""),1100000)</f>
        <v>1100000</v>
      </c>
    </row>
    <row r="236" spans="2:9" x14ac:dyDescent="0.3">
      <c r="B236" s="130" t="str">
        <f ca="1">IFERROR(__xludf.DUMMYFUNCTION("""COMPUTED_VALUE"""),"круг")</f>
        <v>круг</v>
      </c>
      <c r="C236" s="125" t="str">
        <f ca="1">IFERROR(__xludf.DUMMYFUNCTION("""COMPUTED_VALUE"""),"07х16н4Б")</f>
        <v>07х16н4Б</v>
      </c>
      <c r="D236" s="131">
        <f ca="1">IFERROR(__xludf.DUMMYFUNCTION("""COMPUTED_VALUE"""),450)</f>
        <v>450</v>
      </c>
      <c r="E236" s="131"/>
      <c r="F236" s="132" t="str">
        <f ca="1">IFERROR(__xludf.DUMMYFUNCTION("""COMPUTED_VALUE"""),"ГОСТ 5632/25054, УЗК,обточ, ков")</f>
        <v>ГОСТ 5632/25054, УЗК,обточ, ков</v>
      </c>
      <c r="G236" s="133">
        <f ca="1">IFERROR(__xludf.DUMMYFUNCTION("""COMPUTED_VALUE"""),3.24)</f>
        <v>3.24</v>
      </c>
      <c r="H236" s="133"/>
      <c r="I236" s="134">
        <f ca="1">IFERROR(__xludf.DUMMYFUNCTION("""COMPUTED_VALUE"""),1150000)</f>
        <v>1150000</v>
      </c>
    </row>
    <row r="237" spans="2:9" x14ac:dyDescent="0.3">
      <c r="B237" s="130" t="str">
        <f ca="1">IFERROR(__xludf.DUMMYFUNCTION("""COMPUTED_VALUE"""),"круг")</f>
        <v>круг</v>
      </c>
      <c r="C237" s="125" t="str">
        <f ca="1">IFERROR(__xludf.DUMMYFUNCTION("""COMPUTED_VALUE"""),"07х16н4Б")</f>
        <v>07х16н4Б</v>
      </c>
      <c r="D237" s="131">
        <f ca="1">IFERROR(__xludf.DUMMYFUNCTION("""COMPUTED_VALUE"""),450)</f>
        <v>450</v>
      </c>
      <c r="E237" s="131"/>
      <c r="F237" s="132" t="str">
        <f ca="1">IFERROR(__xludf.DUMMYFUNCTION("""COMPUTED_VALUE"""),"ГОСТ 5632/25054, УЗК,обточ, ков")</f>
        <v>ГОСТ 5632/25054, УЗК,обточ, ков</v>
      </c>
      <c r="G237" s="133">
        <f ca="1">IFERROR(__xludf.DUMMYFUNCTION("""COMPUTED_VALUE"""),2.995)</f>
        <v>2.9950000000000001</v>
      </c>
      <c r="H237" s="133"/>
      <c r="I237" s="134">
        <f ca="1">IFERROR(__xludf.DUMMYFUNCTION("""COMPUTED_VALUE"""),1150000)</f>
        <v>1150000</v>
      </c>
    </row>
    <row r="238" spans="2:9" x14ac:dyDescent="0.3">
      <c r="B238" s="130" t="str">
        <f ca="1">IFERROR(__xludf.DUMMYFUNCTION("""COMPUTED_VALUE"""),"круг")</f>
        <v>круг</v>
      </c>
      <c r="C238" s="125" t="str">
        <f ca="1">IFERROR(__xludf.DUMMYFUNCTION("""COMPUTED_VALUE"""),"07х16н4Б")</f>
        <v>07х16н4Б</v>
      </c>
      <c r="D238" s="131">
        <f ca="1">IFERROR(__xludf.DUMMYFUNCTION("""COMPUTED_VALUE"""),450)</f>
        <v>450</v>
      </c>
      <c r="E238" s="131"/>
      <c r="F238" s="132" t="str">
        <f ca="1">IFERROR(__xludf.DUMMYFUNCTION("""COMPUTED_VALUE"""),"ГОСТ 5632/25054, УЗК,обточ, ков")</f>
        <v>ГОСТ 5632/25054, УЗК,обточ, ков</v>
      </c>
      <c r="G238" s="133">
        <f ca="1">IFERROR(__xludf.DUMMYFUNCTION("""COMPUTED_VALUE"""),3.9)</f>
        <v>3.9</v>
      </c>
      <c r="H238" s="133"/>
      <c r="I238" s="134">
        <f ca="1">IFERROR(__xludf.DUMMYFUNCTION("""COMPUTED_VALUE"""),1150000)</f>
        <v>1150000</v>
      </c>
    </row>
    <row r="239" spans="2:9" x14ac:dyDescent="0.3">
      <c r="B239" s="130" t="str">
        <f ca="1">IFERROR(__xludf.DUMMYFUNCTION("""COMPUTED_VALUE"""),"круг")</f>
        <v>круг</v>
      </c>
      <c r="C239" s="125" t="str">
        <f ca="1">IFERROR(__xludf.DUMMYFUNCTION("""COMPUTED_VALUE"""),"07х16н4Б")</f>
        <v>07х16н4Б</v>
      </c>
      <c r="D239" s="131">
        <f ca="1">IFERROR(__xludf.DUMMYFUNCTION("""COMPUTED_VALUE"""),480)</f>
        <v>480</v>
      </c>
      <c r="E239" s="131"/>
      <c r="F239" s="132" t="str">
        <f ca="1">IFERROR(__xludf.DUMMYFUNCTION("""COMPUTED_VALUE"""),"ГОСТ 5632/25054,  УЗК 4n,обточ, ков")</f>
        <v>ГОСТ 5632/25054,  УЗК 4n,обточ, ков</v>
      </c>
      <c r="G239" s="133">
        <f ca="1">IFERROR(__xludf.DUMMYFUNCTION("""COMPUTED_VALUE"""),1.791)</f>
        <v>1.7909999999999999</v>
      </c>
      <c r="H239" s="133"/>
      <c r="I239" s="134">
        <f ca="1">IFERROR(__xludf.DUMMYFUNCTION("""COMPUTED_VALUE"""),1100000)</f>
        <v>1100000</v>
      </c>
    </row>
    <row r="240" spans="2:9" x14ac:dyDescent="0.3">
      <c r="B240" s="130" t="str">
        <f ca="1">IFERROR(__xludf.DUMMYFUNCTION("""COMPUTED_VALUE"""),"круг")</f>
        <v>круг</v>
      </c>
      <c r="C240" s="125" t="str">
        <f ca="1">IFERROR(__xludf.DUMMYFUNCTION("""COMPUTED_VALUE"""),"07х16н4Б")</f>
        <v>07х16н4Б</v>
      </c>
      <c r="D240" s="131">
        <f ca="1">IFERROR(__xludf.DUMMYFUNCTION("""COMPUTED_VALUE"""),480)</f>
        <v>480</v>
      </c>
      <c r="E240" s="131"/>
      <c r="F240" s="132" t="str">
        <f ca="1">IFERROR(__xludf.DUMMYFUNCTION("""COMPUTED_VALUE"""),"ГОСТ 5632/25054,  УЗК 4n,обточ, ков")</f>
        <v>ГОСТ 5632/25054,  УЗК 4n,обточ, ков</v>
      </c>
      <c r="G240" s="133">
        <f ca="1">IFERROR(__xludf.DUMMYFUNCTION("""COMPUTED_VALUE"""),2.465)</f>
        <v>2.4649999999999999</v>
      </c>
      <c r="H240" s="133"/>
      <c r="I240" s="134">
        <f ca="1">IFERROR(__xludf.DUMMYFUNCTION("""COMPUTED_VALUE"""),1100000)</f>
        <v>1100000</v>
      </c>
    </row>
    <row r="241" spans="2:9" x14ac:dyDescent="0.3">
      <c r="B241" s="130" t="str">
        <f ca="1">IFERROR(__xludf.DUMMYFUNCTION("""COMPUTED_VALUE"""),"Круг")</f>
        <v>Круг</v>
      </c>
      <c r="C241" s="125" t="str">
        <f ca="1">IFERROR(__xludf.DUMMYFUNCTION("""COMPUTED_VALUE"""),"07Х21Г7АН5-Ш (ЭП222Ш)")</f>
        <v>07Х21Г7АН5-Ш (ЭП222Ш)</v>
      </c>
      <c r="D241" s="131">
        <f ca="1">IFERROR(__xludf.DUMMYFUNCTION("""COMPUTED_VALUE"""),30)</f>
        <v>30</v>
      </c>
      <c r="E241" s="131"/>
      <c r="F241" s="132" t="str">
        <f ca="1">IFERROR(__xludf.DUMMYFUNCTION("""COMPUTED_VALUE"""),"1133/14-1-952 , УЗК ,РТТ")</f>
        <v>1133/14-1-952 , УЗК ,РТТ</v>
      </c>
      <c r="G241" s="133">
        <f ca="1">IFERROR(__xludf.DUMMYFUNCTION("""COMPUTED_VALUE"""),0.425)</f>
        <v>0.42499999999999999</v>
      </c>
      <c r="H241" s="133"/>
      <c r="I241" s="134">
        <f ca="1">IFERROR(__xludf.DUMMYFUNCTION("""COMPUTED_VALUE"""),1750000)</f>
        <v>1750000</v>
      </c>
    </row>
    <row r="242" spans="2:9" x14ac:dyDescent="0.3">
      <c r="B242" s="130" t="str">
        <f ca="1">IFERROR(__xludf.DUMMYFUNCTION("""COMPUTED_VALUE"""),"Круг")</f>
        <v>Круг</v>
      </c>
      <c r="C242" s="125" t="str">
        <f ca="1">IFERROR(__xludf.DUMMYFUNCTION("""COMPUTED_VALUE"""),"07Х21Г7АН5-Ш (ЭП222Ш)")</f>
        <v>07Х21Г7АН5-Ш (ЭП222Ш)</v>
      </c>
      <c r="D242" s="131">
        <f ca="1">IFERROR(__xludf.DUMMYFUNCTION("""COMPUTED_VALUE"""),32)</f>
        <v>32</v>
      </c>
      <c r="E242" s="131"/>
      <c r="F242" s="132" t="str">
        <f ca="1">IFERROR(__xludf.DUMMYFUNCTION("""COMPUTED_VALUE"""),"1133/14-1-952 , УЗК ,РТТ")</f>
        <v>1133/14-1-952 , УЗК ,РТТ</v>
      </c>
      <c r="G242" s="133">
        <f ca="1">IFERROR(__xludf.DUMMYFUNCTION("""COMPUTED_VALUE"""),0.336)</f>
        <v>0.33600000000000002</v>
      </c>
      <c r="H242" s="133"/>
      <c r="I242" s="134">
        <f ca="1">IFERROR(__xludf.DUMMYFUNCTION("""COMPUTED_VALUE"""),1750000)</f>
        <v>1750000</v>
      </c>
    </row>
    <row r="243" spans="2:9" x14ac:dyDescent="0.3">
      <c r="B243" s="130" t="str">
        <f ca="1">IFERROR(__xludf.DUMMYFUNCTION("""COMPUTED_VALUE"""),"Круг")</f>
        <v>Круг</v>
      </c>
      <c r="C243" s="125" t="str">
        <f ca="1">IFERROR(__xludf.DUMMYFUNCTION("""COMPUTED_VALUE"""),"07Х21Г7АН5-Ш (ЭП222Ш)")</f>
        <v>07Х21Г7АН5-Ш (ЭП222Ш)</v>
      </c>
      <c r="D243" s="131">
        <f ca="1">IFERROR(__xludf.DUMMYFUNCTION("""COMPUTED_VALUE"""),36)</f>
        <v>36</v>
      </c>
      <c r="E243" s="131"/>
      <c r="F243" s="132" t="str">
        <f ca="1">IFERROR(__xludf.DUMMYFUNCTION("""COMPUTED_VALUE"""),"1133/14-1-952 , УЗК ,РТТ")</f>
        <v>1133/14-1-952 , УЗК ,РТТ</v>
      </c>
      <c r="G243" s="133">
        <f ca="1">IFERROR(__xludf.DUMMYFUNCTION("""COMPUTED_VALUE"""),0.383)</f>
        <v>0.38300000000000001</v>
      </c>
      <c r="H243" s="133"/>
      <c r="I243" s="134">
        <f ca="1">IFERROR(__xludf.DUMMYFUNCTION("""COMPUTED_VALUE"""),1750000)</f>
        <v>1750000</v>
      </c>
    </row>
    <row r="244" spans="2:9" x14ac:dyDescent="0.3">
      <c r="B244" s="130" t="str">
        <f ca="1">IFERROR(__xludf.DUMMYFUNCTION("""COMPUTED_VALUE"""),"Круг")</f>
        <v>Круг</v>
      </c>
      <c r="C244" s="125" t="str">
        <f ca="1">IFERROR(__xludf.DUMMYFUNCTION("""COMPUTED_VALUE"""),"07Х21Г7АН5-Ш (ЭП222Ш)")</f>
        <v>07Х21Г7АН5-Ш (ЭП222Ш)</v>
      </c>
      <c r="D244" s="131">
        <f ca="1">IFERROR(__xludf.DUMMYFUNCTION("""COMPUTED_VALUE"""),40)</f>
        <v>40</v>
      </c>
      <c r="E244" s="131"/>
      <c r="F244" s="132" t="str">
        <f ca="1">IFERROR(__xludf.DUMMYFUNCTION("""COMPUTED_VALUE"""),"1133/14-1-952 , УЗК ,РТТ")</f>
        <v>1133/14-1-952 , УЗК ,РТТ</v>
      </c>
      <c r="G244" s="133">
        <f ca="1">IFERROR(__xludf.DUMMYFUNCTION("""COMPUTED_VALUE"""),0.11)</f>
        <v>0.11</v>
      </c>
      <c r="H244" s="133"/>
      <c r="I244" s="134">
        <f ca="1">IFERROR(__xludf.DUMMYFUNCTION("""COMPUTED_VALUE"""),1750000)</f>
        <v>1750000</v>
      </c>
    </row>
    <row r="245" spans="2:9" x14ac:dyDescent="0.3">
      <c r="B245" s="130" t="str">
        <f ca="1">IFERROR(__xludf.DUMMYFUNCTION("""COMPUTED_VALUE"""),"Круг")</f>
        <v>Круг</v>
      </c>
      <c r="C245" s="125" t="str">
        <f ca="1">IFERROR(__xludf.DUMMYFUNCTION("""COMPUTED_VALUE"""),"07Х21Г7АН5-Ш (ЭП222Ш)")</f>
        <v>07Х21Г7АН5-Ш (ЭП222Ш)</v>
      </c>
      <c r="D245" s="131">
        <f ca="1">IFERROR(__xludf.DUMMYFUNCTION("""COMPUTED_VALUE"""),40)</f>
        <v>40</v>
      </c>
      <c r="E245" s="131"/>
      <c r="F245" s="132" t="str">
        <f ca="1">IFERROR(__xludf.DUMMYFUNCTION("""COMPUTED_VALUE"""),"1133/14-1-952 , УЗК ,РТТ")</f>
        <v>1133/14-1-952 , УЗК ,РТТ</v>
      </c>
      <c r="G245" s="133">
        <f ca="1">IFERROR(__xludf.DUMMYFUNCTION("""COMPUTED_VALUE"""),0.462)</f>
        <v>0.46200000000000002</v>
      </c>
      <c r="H245" s="133"/>
      <c r="I245" s="134">
        <f ca="1">IFERROR(__xludf.DUMMYFUNCTION("""COMPUTED_VALUE"""),1750000)</f>
        <v>1750000</v>
      </c>
    </row>
    <row r="246" spans="2:9" x14ac:dyDescent="0.3">
      <c r="B246" s="130" t="str">
        <f ca="1">IFERROR(__xludf.DUMMYFUNCTION("""COMPUTED_VALUE"""),"Круг")</f>
        <v>Круг</v>
      </c>
      <c r="C246" s="125" t="str">
        <f ca="1">IFERROR(__xludf.DUMMYFUNCTION("""COMPUTED_VALUE"""),"07Х21Г7АН5-Ш (ЭП222Ш)")</f>
        <v>07Х21Г7АН5-Ш (ЭП222Ш)</v>
      </c>
      <c r="D246" s="131">
        <f ca="1">IFERROR(__xludf.DUMMYFUNCTION("""COMPUTED_VALUE"""),40)</f>
        <v>40</v>
      </c>
      <c r="E246" s="131"/>
      <c r="F246" s="132" t="str">
        <f ca="1">IFERROR(__xludf.DUMMYFUNCTION("""COMPUTED_VALUE"""),"1133/14-1-952 , УЗК ,РТТ")</f>
        <v>1133/14-1-952 , УЗК ,РТТ</v>
      </c>
      <c r="G246" s="133">
        <f ca="1">IFERROR(__xludf.DUMMYFUNCTION("""COMPUTED_VALUE"""),0.459)</f>
        <v>0.45900000000000002</v>
      </c>
      <c r="H246" s="133"/>
      <c r="I246" s="134">
        <f ca="1">IFERROR(__xludf.DUMMYFUNCTION("""COMPUTED_VALUE"""),1750000)</f>
        <v>1750000</v>
      </c>
    </row>
    <row r="247" spans="2:9" x14ac:dyDescent="0.3">
      <c r="B247" s="130" t="str">
        <f ca="1">IFERROR(__xludf.DUMMYFUNCTION("""COMPUTED_VALUE"""),"Круг")</f>
        <v>Круг</v>
      </c>
      <c r="C247" s="125" t="str">
        <f ca="1">IFERROR(__xludf.DUMMYFUNCTION("""COMPUTED_VALUE"""),"07Х21Г7АН5-Ш (ЭП222Ш)")</f>
        <v>07Х21Г7АН5-Ш (ЭП222Ш)</v>
      </c>
      <c r="D247" s="131">
        <f ca="1">IFERROR(__xludf.DUMMYFUNCTION("""COMPUTED_VALUE"""),45)</f>
        <v>45</v>
      </c>
      <c r="E247" s="131"/>
      <c r="F247" s="132" t="str">
        <f ca="1">IFERROR(__xludf.DUMMYFUNCTION("""COMPUTED_VALUE"""),"1133/14-1-952 , УЗК ,РТТ")</f>
        <v>1133/14-1-952 , УЗК ,РТТ</v>
      </c>
      <c r="G247" s="133">
        <f ca="1">IFERROR(__xludf.DUMMYFUNCTION("""COMPUTED_VALUE"""),0.517)</f>
        <v>0.51700000000000002</v>
      </c>
      <c r="H247" s="133"/>
      <c r="I247" s="134">
        <f ca="1">IFERROR(__xludf.DUMMYFUNCTION("""COMPUTED_VALUE"""),1750000)</f>
        <v>1750000</v>
      </c>
    </row>
    <row r="248" spans="2:9" x14ac:dyDescent="0.3">
      <c r="B248" s="130" t="str">
        <f ca="1">IFERROR(__xludf.DUMMYFUNCTION("""COMPUTED_VALUE"""),"Круг")</f>
        <v>Круг</v>
      </c>
      <c r="C248" s="125" t="str">
        <f ca="1">IFERROR(__xludf.DUMMYFUNCTION("""COMPUTED_VALUE"""),"07Х21Г7АН5-Ш (ЭП222Ш)")</f>
        <v>07Х21Г7АН5-Ш (ЭП222Ш)</v>
      </c>
      <c r="D248" s="131">
        <f ca="1">IFERROR(__xludf.DUMMYFUNCTION("""COMPUTED_VALUE"""),45)</f>
        <v>45</v>
      </c>
      <c r="E248" s="131"/>
      <c r="F248" s="132" t="str">
        <f ca="1">IFERROR(__xludf.DUMMYFUNCTION("""COMPUTED_VALUE"""),"1133/14-1-952 , УЗК ,РТТ")</f>
        <v>1133/14-1-952 , УЗК ,РТТ</v>
      </c>
      <c r="G248" s="133">
        <f ca="1">IFERROR(__xludf.DUMMYFUNCTION("""COMPUTED_VALUE"""),0.527)</f>
        <v>0.52700000000000002</v>
      </c>
      <c r="H248" s="133"/>
      <c r="I248" s="134">
        <f ca="1">IFERROR(__xludf.DUMMYFUNCTION("""COMPUTED_VALUE"""),1750000)</f>
        <v>1750000</v>
      </c>
    </row>
    <row r="249" spans="2:9" x14ac:dyDescent="0.3">
      <c r="B249" s="130" t="str">
        <f ca="1">IFERROR(__xludf.DUMMYFUNCTION("""COMPUTED_VALUE"""),"Круг")</f>
        <v>Круг</v>
      </c>
      <c r="C249" s="125" t="str">
        <f ca="1">IFERROR(__xludf.DUMMYFUNCTION("""COMPUTED_VALUE"""),"07Х21Г7АН5-Ш (ЭП222Ш)")</f>
        <v>07Х21Г7АН5-Ш (ЭП222Ш)</v>
      </c>
      <c r="D249" s="131">
        <f ca="1">IFERROR(__xludf.DUMMYFUNCTION("""COMPUTED_VALUE"""),50)</f>
        <v>50</v>
      </c>
      <c r="E249" s="131"/>
      <c r="F249" s="132" t="str">
        <f ca="1">IFERROR(__xludf.DUMMYFUNCTION("""COMPUTED_VALUE"""),"1133/14-1-952 , УЗК ,РТТ")</f>
        <v>1133/14-1-952 , УЗК ,РТТ</v>
      </c>
      <c r="G249" s="133">
        <f ca="1">IFERROR(__xludf.DUMMYFUNCTION("""COMPUTED_VALUE"""),0.909999999999999)</f>
        <v>0.90999999999999903</v>
      </c>
      <c r="H249" s="133"/>
      <c r="I249" s="134">
        <f ca="1">IFERROR(__xludf.DUMMYFUNCTION("""COMPUTED_VALUE"""),1750000)</f>
        <v>1750000</v>
      </c>
    </row>
    <row r="250" spans="2:9" x14ac:dyDescent="0.3">
      <c r="B250" s="130" t="str">
        <f ca="1">IFERROR(__xludf.DUMMYFUNCTION("""COMPUTED_VALUE"""),"Круг")</f>
        <v>Круг</v>
      </c>
      <c r="C250" s="125" t="str">
        <f ca="1">IFERROR(__xludf.DUMMYFUNCTION("""COMPUTED_VALUE"""),"07Х21Г7АН5-Ш (ЭП222Ш)")</f>
        <v>07Х21Г7АН5-Ш (ЭП222Ш)</v>
      </c>
      <c r="D250" s="131">
        <f ca="1">IFERROR(__xludf.DUMMYFUNCTION("""COMPUTED_VALUE"""),56)</f>
        <v>56</v>
      </c>
      <c r="E250" s="131"/>
      <c r="F250" s="132" t="str">
        <f ca="1">IFERROR(__xludf.DUMMYFUNCTION("""COMPUTED_VALUE"""),"1133/14-1-952 , УЗК ,РТТ")</f>
        <v>1133/14-1-952 , УЗК ,РТТ</v>
      </c>
      <c r="G250" s="133">
        <f ca="1">IFERROR(__xludf.DUMMYFUNCTION("""COMPUTED_VALUE"""),0.515)</f>
        <v>0.51500000000000001</v>
      </c>
      <c r="H250" s="133"/>
      <c r="I250" s="134">
        <f ca="1">IFERROR(__xludf.DUMMYFUNCTION("""COMPUTED_VALUE"""),1750000)</f>
        <v>1750000</v>
      </c>
    </row>
    <row r="251" spans="2:9" x14ac:dyDescent="0.3">
      <c r="B251" s="130" t="str">
        <f ca="1">IFERROR(__xludf.DUMMYFUNCTION("""COMPUTED_VALUE"""),"Круг")</f>
        <v>Круг</v>
      </c>
      <c r="C251" s="125" t="str">
        <f ca="1">IFERROR(__xludf.DUMMYFUNCTION("""COMPUTED_VALUE"""),"07Х21Г7АН5-Ш (ЭП222Ш)")</f>
        <v>07Х21Г7АН5-Ш (ЭП222Ш)</v>
      </c>
      <c r="D251" s="131">
        <f ca="1">IFERROR(__xludf.DUMMYFUNCTION("""COMPUTED_VALUE"""),56)</f>
        <v>56</v>
      </c>
      <c r="E251" s="131"/>
      <c r="F251" s="132" t="str">
        <f ca="1">IFERROR(__xludf.DUMMYFUNCTION("""COMPUTED_VALUE"""),"1133/14-1-952 , УЗК ,РТТ")</f>
        <v>1133/14-1-952 , УЗК ,РТТ</v>
      </c>
      <c r="G251" s="133">
        <f ca="1">IFERROR(__xludf.DUMMYFUNCTION("""COMPUTED_VALUE"""),0.6)</f>
        <v>0.6</v>
      </c>
      <c r="H251" s="133"/>
      <c r="I251" s="134">
        <f ca="1">IFERROR(__xludf.DUMMYFUNCTION("""COMPUTED_VALUE"""),1750000)</f>
        <v>1750000</v>
      </c>
    </row>
    <row r="252" spans="2:9" x14ac:dyDescent="0.3">
      <c r="B252" s="130" t="str">
        <f ca="1">IFERROR(__xludf.DUMMYFUNCTION("""COMPUTED_VALUE"""),"Круг")</f>
        <v>Круг</v>
      </c>
      <c r="C252" s="125" t="str">
        <f ca="1">IFERROR(__xludf.DUMMYFUNCTION("""COMPUTED_VALUE"""),"07Х21Г7АН5-Ш (ЭП222Ш)")</f>
        <v>07Х21Г7АН5-Ш (ЭП222Ш)</v>
      </c>
      <c r="D252" s="131">
        <f ca="1">IFERROR(__xludf.DUMMYFUNCTION("""COMPUTED_VALUE"""),60)</f>
        <v>60</v>
      </c>
      <c r="E252" s="131"/>
      <c r="F252" s="132" t="str">
        <f ca="1">IFERROR(__xludf.DUMMYFUNCTION("""COMPUTED_VALUE"""),"1133/14-1-952 , УЗК ,РТТ")</f>
        <v>1133/14-1-952 , УЗК ,РТТ</v>
      </c>
      <c r="G252" s="133">
        <f ca="1">IFERROR(__xludf.DUMMYFUNCTION("""COMPUTED_VALUE"""),0.105)</f>
        <v>0.105</v>
      </c>
      <c r="H252" s="133"/>
      <c r="I252" s="134">
        <f ca="1">IFERROR(__xludf.DUMMYFUNCTION("""COMPUTED_VALUE"""),1600000)</f>
        <v>1600000</v>
      </c>
    </row>
    <row r="253" spans="2:9" x14ac:dyDescent="0.3">
      <c r="B253" s="130" t="str">
        <f ca="1">IFERROR(__xludf.DUMMYFUNCTION("""COMPUTED_VALUE"""),"Круг")</f>
        <v>Круг</v>
      </c>
      <c r="C253" s="125" t="str">
        <f ca="1">IFERROR(__xludf.DUMMYFUNCTION("""COMPUTED_VALUE"""),"07Х21Г7АН5-Ш (ЭП222Ш)")</f>
        <v>07Х21Г7АН5-Ш (ЭП222Ш)</v>
      </c>
      <c r="D253" s="131">
        <f ca="1">IFERROR(__xludf.DUMMYFUNCTION("""COMPUTED_VALUE"""),60)</f>
        <v>60</v>
      </c>
      <c r="E253" s="131"/>
      <c r="F253" s="132" t="str">
        <f ca="1">IFERROR(__xludf.DUMMYFUNCTION("""COMPUTED_VALUE"""),"1133/14-1-952 , УЗК ,РТТ")</f>
        <v>1133/14-1-952 , УЗК ,РТТ</v>
      </c>
      <c r="G253" s="133">
        <f ca="1">IFERROR(__xludf.DUMMYFUNCTION("""COMPUTED_VALUE"""),0.625)</f>
        <v>0.625</v>
      </c>
      <c r="H253" s="133"/>
      <c r="I253" s="134">
        <f ca="1">IFERROR(__xludf.DUMMYFUNCTION("""COMPUTED_VALUE"""),1600000)</f>
        <v>1600000</v>
      </c>
    </row>
    <row r="254" spans="2:9" x14ac:dyDescent="0.3">
      <c r="B254" s="130" t="str">
        <f ca="1">IFERROR(__xludf.DUMMYFUNCTION("""COMPUTED_VALUE"""),"Круг")</f>
        <v>Круг</v>
      </c>
      <c r="C254" s="125" t="str">
        <f ca="1">IFERROR(__xludf.DUMMYFUNCTION("""COMPUTED_VALUE"""),"07Х21Г7АН5-Ш (ЭП222Ш)")</f>
        <v>07Х21Г7АН5-Ш (ЭП222Ш)</v>
      </c>
      <c r="D254" s="131">
        <f ca="1">IFERROR(__xludf.DUMMYFUNCTION("""COMPUTED_VALUE"""),60)</f>
        <v>60</v>
      </c>
      <c r="E254" s="131"/>
      <c r="F254" s="132" t="str">
        <f ca="1">IFERROR(__xludf.DUMMYFUNCTION("""COMPUTED_VALUE"""),"1133/14-1-952 , УЗК ,РТТ")</f>
        <v>1133/14-1-952 , УЗК ,РТТ</v>
      </c>
      <c r="G254" s="133">
        <f ca="1">IFERROR(__xludf.DUMMYFUNCTION("""COMPUTED_VALUE"""),0.595)</f>
        <v>0.59499999999999997</v>
      </c>
      <c r="H254" s="133"/>
      <c r="I254" s="134">
        <f ca="1">IFERROR(__xludf.DUMMYFUNCTION("""COMPUTED_VALUE"""),1600000)</f>
        <v>1600000</v>
      </c>
    </row>
    <row r="255" spans="2:9" x14ac:dyDescent="0.3">
      <c r="B255" s="130" t="str">
        <f ca="1">IFERROR(__xludf.DUMMYFUNCTION("""COMPUTED_VALUE"""),"Круг")</f>
        <v>Круг</v>
      </c>
      <c r="C255" s="125" t="str">
        <f ca="1">IFERROR(__xludf.DUMMYFUNCTION("""COMPUTED_VALUE"""),"07Х21Г7АН5-Ш (ЭП222Ш)")</f>
        <v>07Х21Г7АН5-Ш (ЭП222Ш)</v>
      </c>
      <c r="D255" s="131">
        <f ca="1">IFERROR(__xludf.DUMMYFUNCTION("""COMPUTED_VALUE"""),65)</f>
        <v>65</v>
      </c>
      <c r="E255" s="131"/>
      <c r="F255" s="132" t="str">
        <f ca="1">IFERROR(__xludf.DUMMYFUNCTION("""COMPUTED_VALUE"""),"1133/14-1-952 , УЗК ,РТТ")</f>
        <v>1133/14-1-952 , УЗК ,РТТ</v>
      </c>
      <c r="G255" s="133">
        <f ca="1">IFERROR(__xludf.DUMMYFUNCTION("""COMPUTED_VALUE"""),0.553)</f>
        <v>0.55300000000000005</v>
      </c>
      <c r="H255" s="133"/>
      <c r="I255" s="134">
        <f ca="1">IFERROR(__xludf.DUMMYFUNCTION("""COMPUTED_VALUE"""),1600000)</f>
        <v>1600000</v>
      </c>
    </row>
    <row r="256" spans="2:9" x14ac:dyDescent="0.3">
      <c r="B256" s="130" t="str">
        <f ca="1">IFERROR(__xludf.DUMMYFUNCTION("""COMPUTED_VALUE"""),"Круг")</f>
        <v>Круг</v>
      </c>
      <c r="C256" s="125" t="str">
        <f ca="1">IFERROR(__xludf.DUMMYFUNCTION("""COMPUTED_VALUE"""),"07Х21Г7АН5-Ш (ЭП222Ш)")</f>
        <v>07Х21Г7АН5-Ш (ЭП222Ш)</v>
      </c>
      <c r="D256" s="131">
        <f ca="1">IFERROR(__xludf.DUMMYFUNCTION("""COMPUTED_VALUE"""),65)</f>
        <v>65</v>
      </c>
      <c r="E256" s="131"/>
      <c r="F256" s="132" t="str">
        <f ca="1">IFERROR(__xludf.DUMMYFUNCTION("""COMPUTED_VALUE"""),"1133/14-1-952 , УЗК ,РТТ")</f>
        <v>1133/14-1-952 , УЗК ,РТТ</v>
      </c>
      <c r="G256" s="133">
        <f ca="1">IFERROR(__xludf.DUMMYFUNCTION("""COMPUTED_VALUE"""),0.566)</f>
        <v>0.56599999999999995</v>
      </c>
      <c r="H256" s="133"/>
      <c r="I256" s="134">
        <f ca="1">IFERROR(__xludf.DUMMYFUNCTION("""COMPUTED_VALUE"""),1600000)</f>
        <v>1600000</v>
      </c>
    </row>
    <row r="257" spans="2:9" x14ac:dyDescent="0.3">
      <c r="B257" s="130" t="str">
        <f ca="1">IFERROR(__xludf.DUMMYFUNCTION("""COMPUTED_VALUE"""),"Круг")</f>
        <v>Круг</v>
      </c>
      <c r="C257" s="125" t="str">
        <f ca="1">IFERROR(__xludf.DUMMYFUNCTION("""COMPUTED_VALUE"""),"07Х21Г7АН5-Ш (ЭП222Ш)")</f>
        <v>07Х21Г7АН5-Ш (ЭП222Ш)</v>
      </c>
      <c r="D257" s="131">
        <f ca="1">IFERROR(__xludf.DUMMYFUNCTION("""COMPUTED_VALUE"""),70)</f>
        <v>70</v>
      </c>
      <c r="E257" s="131"/>
      <c r="F257" s="132" t="str">
        <f ca="1">IFERROR(__xludf.DUMMYFUNCTION("""COMPUTED_VALUE"""),"1133/14-1-952 , УЗК ,РТТ")</f>
        <v>1133/14-1-952 , УЗК ,РТТ</v>
      </c>
      <c r="G257" s="133">
        <f ca="1">IFERROR(__xludf.DUMMYFUNCTION("""COMPUTED_VALUE"""),0.625)</f>
        <v>0.625</v>
      </c>
      <c r="H257" s="133"/>
      <c r="I257" s="134">
        <f ca="1">IFERROR(__xludf.DUMMYFUNCTION("""COMPUTED_VALUE"""),1600000)</f>
        <v>1600000</v>
      </c>
    </row>
    <row r="258" spans="2:9" x14ac:dyDescent="0.3">
      <c r="B258" s="130" t="str">
        <f ca="1">IFERROR(__xludf.DUMMYFUNCTION("""COMPUTED_VALUE"""),"Круг")</f>
        <v>Круг</v>
      </c>
      <c r="C258" s="125" t="str">
        <f ca="1">IFERROR(__xludf.DUMMYFUNCTION("""COMPUTED_VALUE"""),"07Х21Г7АН5-Ш (ЭП222Ш)")</f>
        <v>07Х21Г7АН5-Ш (ЭП222Ш)</v>
      </c>
      <c r="D258" s="131">
        <f ca="1">IFERROR(__xludf.DUMMYFUNCTION("""COMPUTED_VALUE"""),70)</f>
        <v>70</v>
      </c>
      <c r="E258" s="131"/>
      <c r="F258" s="132" t="str">
        <f ca="1">IFERROR(__xludf.DUMMYFUNCTION("""COMPUTED_VALUE"""),"1133/14-1-952 , УЗК ,РТТ")</f>
        <v>1133/14-1-952 , УЗК ,РТТ</v>
      </c>
      <c r="G258" s="133">
        <f ca="1">IFERROR(__xludf.DUMMYFUNCTION("""COMPUTED_VALUE"""),0.754)</f>
        <v>0.754</v>
      </c>
      <c r="H258" s="133"/>
      <c r="I258" s="134">
        <f ca="1">IFERROR(__xludf.DUMMYFUNCTION("""COMPUTED_VALUE"""),1600000)</f>
        <v>1600000</v>
      </c>
    </row>
    <row r="259" spans="2:9" x14ac:dyDescent="0.3">
      <c r="B259" s="130" t="str">
        <f ca="1">IFERROR(__xludf.DUMMYFUNCTION("""COMPUTED_VALUE"""),"Круг")</f>
        <v>Круг</v>
      </c>
      <c r="C259" s="125" t="str">
        <f ca="1">IFERROR(__xludf.DUMMYFUNCTION("""COMPUTED_VALUE"""),"07Х21Г7АН5-Ш (ЭП222Ш)")</f>
        <v>07Х21Г7АН5-Ш (ЭП222Ш)</v>
      </c>
      <c r="D259" s="131">
        <f ca="1">IFERROR(__xludf.DUMMYFUNCTION("""COMPUTED_VALUE"""),75)</f>
        <v>75</v>
      </c>
      <c r="E259" s="131"/>
      <c r="F259" s="132" t="str">
        <f ca="1">IFERROR(__xludf.DUMMYFUNCTION("""COMPUTED_VALUE"""),"1133/14-1-952 , УЗК ,РТТ")</f>
        <v>1133/14-1-952 , УЗК ,РТТ</v>
      </c>
      <c r="G259" s="133">
        <f ca="1">IFERROR(__xludf.DUMMYFUNCTION("""COMPUTED_VALUE"""),0.343)</f>
        <v>0.34300000000000003</v>
      </c>
      <c r="H259" s="133"/>
      <c r="I259" s="134">
        <f ca="1">IFERROR(__xludf.DUMMYFUNCTION("""COMPUTED_VALUE"""),1600000)</f>
        <v>1600000</v>
      </c>
    </row>
    <row r="260" spans="2:9" x14ac:dyDescent="0.3">
      <c r="B260" s="130" t="str">
        <f ca="1">IFERROR(__xludf.DUMMYFUNCTION("""COMPUTED_VALUE"""),"Круг")</f>
        <v>Круг</v>
      </c>
      <c r="C260" s="125" t="str">
        <f ca="1">IFERROR(__xludf.DUMMYFUNCTION("""COMPUTED_VALUE"""),"07Х21Г7АН5-Ш (ЭП222Ш)")</f>
        <v>07Х21Г7АН5-Ш (ЭП222Ш)</v>
      </c>
      <c r="D260" s="131">
        <f ca="1">IFERROR(__xludf.DUMMYFUNCTION("""COMPUTED_VALUE"""),75)</f>
        <v>75</v>
      </c>
      <c r="E260" s="131"/>
      <c r="F260" s="132" t="str">
        <f ca="1">IFERROR(__xludf.DUMMYFUNCTION("""COMPUTED_VALUE"""),"1133/14-1-952 , УЗК ,РТТ")</f>
        <v>1133/14-1-952 , УЗК ,РТТ</v>
      </c>
      <c r="G260" s="133">
        <f ca="1">IFERROR(__xludf.DUMMYFUNCTION("""COMPUTED_VALUE"""),0.902)</f>
        <v>0.90200000000000002</v>
      </c>
      <c r="H260" s="133"/>
      <c r="I260" s="134">
        <f ca="1">IFERROR(__xludf.DUMMYFUNCTION("""COMPUTED_VALUE"""),1600000)</f>
        <v>1600000</v>
      </c>
    </row>
    <row r="261" spans="2:9" x14ac:dyDescent="0.3">
      <c r="B261" s="130" t="str">
        <f ca="1">IFERROR(__xludf.DUMMYFUNCTION("""COMPUTED_VALUE"""),"Круг")</f>
        <v>Круг</v>
      </c>
      <c r="C261" s="125" t="str">
        <f ca="1">IFERROR(__xludf.DUMMYFUNCTION("""COMPUTED_VALUE"""),"07Х21Г7АН5-Ш (ЭП222Ш)")</f>
        <v>07Х21Г7АН5-Ш (ЭП222Ш)</v>
      </c>
      <c r="D261" s="131">
        <f ca="1">IFERROR(__xludf.DUMMYFUNCTION("""COMPUTED_VALUE"""),80)</f>
        <v>80</v>
      </c>
      <c r="E261" s="131"/>
      <c r="F261" s="132" t="str">
        <f ca="1">IFERROR(__xludf.DUMMYFUNCTION("""COMPUTED_VALUE"""),"1133/14-1-952 , УЗК ,РТТ")</f>
        <v>1133/14-1-952 , УЗК ,РТТ</v>
      </c>
      <c r="G261" s="133">
        <f ca="1">IFERROR(__xludf.DUMMYFUNCTION("""COMPUTED_VALUE"""),0.707)</f>
        <v>0.70699999999999996</v>
      </c>
      <c r="H261" s="133"/>
      <c r="I261" s="134">
        <f ca="1">IFERROR(__xludf.DUMMYFUNCTION("""COMPUTED_VALUE"""),1600000)</f>
        <v>1600000</v>
      </c>
    </row>
    <row r="262" spans="2:9" x14ac:dyDescent="0.3">
      <c r="B262" s="130" t="str">
        <f ca="1">IFERROR(__xludf.DUMMYFUNCTION("""COMPUTED_VALUE"""),"Круг")</f>
        <v>Круг</v>
      </c>
      <c r="C262" s="125" t="str">
        <f ca="1">IFERROR(__xludf.DUMMYFUNCTION("""COMPUTED_VALUE"""),"07Х21Г7АН5-Ш (ЭП222Ш)")</f>
        <v>07Х21Г7АН5-Ш (ЭП222Ш)</v>
      </c>
      <c r="D262" s="131">
        <f ca="1">IFERROR(__xludf.DUMMYFUNCTION("""COMPUTED_VALUE"""),80)</f>
        <v>80</v>
      </c>
      <c r="E262" s="131"/>
      <c r="F262" s="132" t="str">
        <f ca="1">IFERROR(__xludf.DUMMYFUNCTION("""COMPUTED_VALUE"""),"1133/14-1-952 , УЗК ,РТТ")</f>
        <v>1133/14-1-952 , УЗК ,РТТ</v>
      </c>
      <c r="G262" s="133">
        <f ca="1">IFERROR(__xludf.DUMMYFUNCTION("""COMPUTED_VALUE"""),0.632)</f>
        <v>0.63200000000000001</v>
      </c>
      <c r="H262" s="133"/>
      <c r="I262" s="134">
        <f ca="1">IFERROR(__xludf.DUMMYFUNCTION("""COMPUTED_VALUE"""),1600000)</f>
        <v>1600000</v>
      </c>
    </row>
    <row r="263" spans="2:9" x14ac:dyDescent="0.3">
      <c r="B263" s="130" t="str">
        <f ca="1">IFERROR(__xludf.DUMMYFUNCTION("""COMPUTED_VALUE"""),"Круг")</f>
        <v>Круг</v>
      </c>
      <c r="C263" s="125" t="str">
        <f ca="1">IFERROR(__xludf.DUMMYFUNCTION("""COMPUTED_VALUE"""),"07Х21Г7АН5-Ш (ЭП222Ш)")</f>
        <v>07Х21Г7АН5-Ш (ЭП222Ш)</v>
      </c>
      <c r="D263" s="131">
        <f ca="1">IFERROR(__xludf.DUMMYFUNCTION("""COMPUTED_VALUE"""),90)</f>
        <v>90</v>
      </c>
      <c r="E263" s="131"/>
      <c r="F263" s="132" t="str">
        <f ca="1">IFERROR(__xludf.DUMMYFUNCTION("""COMPUTED_VALUE"""),"1133/14-1-952 , УЗК ,РТТ")</f>
        <v>1133/14-1-952 , УЗК ,РТТ</v>
      </c>
      <c r="G263" s="133">
        <f ca="1">IFERROR(__xludf.DUMMYFUNCTION("""COMPUTED_VALUE"""),0.44)</f>
        <v>0.44</v>
      </c>
      <c r="H263" s="133"/>
      <c r="I263" s="134">
        <f ca="1">IFERROR(__xludf.DUMMYFUNCTION("""COMPUTED_VALUE"""),1600000)</f>
        <v>1600000</v>
      </c>
    </row>
    <row r="264" spans="2:9" x14ac:dyDescent="0.3">
      <c r="B264" s="130" t="str">
        <f ca="1">IFERROR(__xludf.DUMMYFUNCTION("""COMPUTED_VALUE"""),"Круг")</f>
        <v>Круг</v>
      </c>
      <c r="C264" s="125" t="str">
        <f ca="1">IFERROR(__xludf.DUMMYFUNCTION("""COMPUTED_VALUE"""),"07Х21Г7АН5-Ш (ЭП222Ш)")</f>
        <v>07Х21Г7АН5-Ш (ЭП222Ш)</v>
      </c>
      <c r="D264" s="131">
        <f ca="1">IFERROR(__xludf.DUMMYFUNCTION("""COMPUTED_VALUE"""),90)</f>
        <v>90</v>
      </c>
      <c r="E264" s="131"/>
      <c r="F264" s="132" t="str">
        <f ca="1">IFERROR(__xludf.DUMMYFUNCTION("""COMPUTED_VALUE"""),"1133/14-1-952 , УЗК ,РТТ")</f>
        <v>1133/14-1-952 , УЗК ,РТТ</v>
      </c>
      <c r="G264" s="133">
        <f ca="1">IFERROR(__xludf.DUMMYFUNCTION("""COMPUTED_VALUE"""),0.666)</f>
        <v>0.66600000000000004</v>
      </c>
      <c r="H264" s="133"/>
      <c r="I264" s="134">
        <f ca="1">IFERROR(__xludf.DUMMYFUNCTION("""COMPUTED_VALUE"""),1600000)</f>
        <v>1600000</v>
      </c>
    </row>
    <row r="265" spans="2:9" x14ac:dyDescent="0.3">
      <c r="B265" s="130" t="str">
        <f ca="1">IFERROR(__xludf.DUMMYFUNCTION("""COMPUTED_VALUE"""),"Круг")</f>
        <v>Круг</v>
      </c>
      <c r="C265" s="125" t="str">
        <f ca="1">IFERROR(__xludf.DUMMYFUNCTION("""COMPUTED_VALUE"""),"07Х21Г7АН5-Ш (ЭП222Ш)")</f>
        <v>07Х21Г7АН5-Ш (ЭП222Ш)</v>
      </c>
      <c r="D265" s="131">
        <f ca="1">IFERROR(__xludf.DUMMYFUNCTION("""COMPUTED_VALUE"""),100)</f>
        <v>100</v>
      </c>
      <c r="E265" s="131"/>
      <c r="F265" s="132" t="str">
        <f ca="1">IFERROR(__xludf.DUMMYFUNCTION("""COMPUTED_VALUE"""),"1133/14-1-952 , УЗК ,РТТ")</f>
        <v>1133/14-1-952 , УЗК ,РТТ</v>
      </c>
      <c r="G265" s="133">
        <f ca="1">IFERROR(__xludf.DUMMYFUNCTION("""COMPUTED_VALUE"""),0.223)</f>
        <v>0.223</v>
      </c>
      <c r="H265" s="133"/>
      <c r="I265" s="134">
        <f ca="1">IFERROR(__xludf.DUMMYFUNCTION("""COMPUTED_VALUE"""),1600000)</f>
        <v>1600000</v>
      </c>
    </row>
    <row r="266" spans="2:9" x14ac:dyDescent="0.3">
      <c r="B266" s="130" t="str">
        <f ca="1">IFERROR(__xludf.DUMMYFUNCTION("""COMPUTED_VALUE"""),"Круг")</f>
        <v>Круг</v>
      </c>
      <c r="C266" s="125" t="str">
        <f ca="1">IFERROR(__xludf.DUMMYFUNCTION("""COMPUTED_VALUE"""),"07Х21Г7АН5-Ш (ЭП222Ш)")</f>
        <v>07Х21Г7АН5-Ш (ЭП222Ш)</v>
      </c>
      <c r="D266" s="131">
        <f ca="1">IFERROR(__xludf.DUMMYFUNCTION("""COMPUTED_VALUE"""),100)</f>
        <v>100</v>
      </c>
      <c r="E266" s="131"/>
      <c r="F266" s="132" t="str">
        <f ca="1">IFERROR(__xludf.DUMMYFUNCTION("""COMPUTED_VALUE"""),"1133/14-1-952 , УЗК ,РТТ")</f>
        <v>1133/14-1-952 , УЗК ,РТТ</v>
      </c>
      <c r="G266" s="133">
        <f ca="1">IFERROR(__xludf.DUMMYFUNCTION("""COMPUTED_VALUE"""),0.472)</f>
        <v>0.47199999999999998</v>
      </c>
      <c r="H266" s="133"/>
      <c r="I266" s="134">
        <f ca="1">IFERROR(__xludf.DUMMYFUNCTION("""COMPUTED_VALUE"""),1600000)</f>
        <v>1600000</v>
      </c>
    </row>
    <row r="267" spans="2:9" x14ac:dyDescent="0.3">
      <c r="B267" s="130" t="str">
        <f ca="1">IFERROR(__xludf.DUMMYFUNCTION("""COMPUTED_VALUE"""),"Круг")</f>
        <v>Круг</v>
      </c>
      <c r="C267" s="125" t="str">
        <f ca="1">IFERROR(__xludf.DUMMYFUNCTION("""COMPUTED_VALUE"""),"07Х21Г7АН5-Ш (ЭП222Ш)")</f>
        <v>07Х21Г7АН5-Ш (ЭП222Ш)</v>
      </c>
      <c r="D267" s="131">
        <f ca="1">IFERROR(__xludf.DUMMYFUNCTION("""COMPUTED_VALUE"""),100)</f>
        <v>100</v>
      </c>
      <c r="E267" s="131"/>
      <c r="F267" s="132" t="str">
        <f ca="1">IFERROR(__xludf.DUMMYFUNCTION("""COMPUTED_VALUE"""),"1133/14-1-952 , УЗК ,РТТ")</f>
        <v>1133/14-1-952 , УЗК ,РТТ</v>
      </c>
      <c r="G267" s="133">
        <f ca="1">IFERROR(__xludf.DUMMYFUNCTION("""COMPUTED_VALUE"""),0.703)</f>
        <v>0.70299999999999996</v>
      </c>
      <c r="H267" s="133"/>
      <c r="I267" s="134">
        <f ca="1">IFERROR(__xludf.DUMMYFUNCTION("""COMPUTED_VALUE"""),1600000)</f>
        <v>1600000</v>
      </c>
    </row>
    <row r="268" spans="2:9" x14ac:dyDescent="0.3">
      <c r="B268" s="130" t="str">
        <f ca="1">IFERROR(__xludf.DUMMYFUNCTION("""COMPUTED_VALUE"""),"круг")</f>
        <v>круг</v>
      </c>
      <c r="C268" s="125" t="str">
        <f ca="1">IFERROR(__xludf.DUMMYFUNCTION("""COMPUTED_VALUE"""),"09Х16Н4Б -ш (ЭП56ш)")</f>
        <v>09Х16Н4Б -ш (ЭП56ш)</v>
      </c>
      <c r="D268" s="131">
        <f ca="1">IFERROR(__xludf.DUMMYFUNCTION("""COMPUTED_VALUE"""),10)</f>
        <v>10</v>
      </c>
      <c r="E268" s="131"/>
      <c r="F268" s="132" t="str">
        <f ca="1">IFERROR(__xludf.DUMMYFUNCTION("""COMPUTED_VALUE"""),"ТУ 14-1-463-73")</f>
        <v>ТУ 14-1-463-73</v>
      </c>
      <c r="G268" s="133">
        <f ca="1">IFERROR(__xludf.DUMMYFUNCTION("""COMPUTED_VALUE"""),0.37)</f>
        <v>0.37</v>
      </c>
      <c r="H268" s="133"/>
      <c r="I268" s="134">
        <f ca="1">IFERROR(__xludf.DUMMYFUNCTION("""COMPUTED_VALUE"""),1300000)</f>
        <v>1300000</v>
      </c>
    </row>
    <row r="269" spans="2:9" x14ac:dyDescent="0.3">
      <c r="B269" s="130" t="str">
        <f ca="1">IFERROR(__xludf.DUMMYFUNCTION("""COMPUTED_VALUE"""),"круг")</f>
        <v>круг</v>
      </c>
      <c r="C269" s="125" t="str">
        <f ca="1">IFERROR(__xludf.DUMMYFUNCTION("""COMPUTED_VALUE"""),"09Х16Н4Б -ш (ЭП56ш)")</f>
        <v>09Х16Н4Б -ш (ЭП56ш)</v>
      </c>
      <c r="D269" s="131">
        <f ca="1">IFERROR(__xludf.DUMMYFUNCTION("""COMPUTED_VALUE"""),10)</f>
        <v>10</v>
      </c>
      <c r="E269" s="131"/>
      <c r="F269" s="132" t="str">
        <f ca="1">IFERROR(__xludf.DUMMYFUNCTION("""COMPUTED_VALUE"""),"ТУ 14-1-463-73, ГОСТ 2590 3гп РТТ")</f>
        <v>ТУ 14-1-463-73, ГОСТ 2590 3гп РТТ</v>
      </c>
      <c r="G269" s="133">
        <f ca="1">IFERROR(__xludf.DUMMYFUNCTION("""COMPUTED_VALUE"""),0.71)</f>
        <v>0.71</v>
      </c>
      <c r="H269" s="133"/>
      <c r="I269" s="134">
        <f ca="1">IFERROR(__xludf.DUMMYFUNCTION("""COMPUTED_VALUE"""),1300000)</f>
        <v>1300000</v>
      </c>
    </row>
    <row r="270" spans="2:9" x14ac:dyDescent="0.3">
      <c r="B270" s="130" t="str">
        <f ca="1">IFERROR(__xludf.DUMMYFUNCTION("""COMPUTED_VALUE"""),"круг")</f>
        <v>круг</v>
      </c>
      <c r="C270" s="125" t="str">
        <f ca="1">IFERROR(__xludf.DUMMYFUNCTION("""COMPUTED_VALUE"""),"09Х16Н4Б -ш (ЭП56ш)")</f>
        <v>09Х16Н4Б -ш (ЭП56ш)</v>
      </c>
      <c r="D270" s="131">
        <f ca="1">IFERROR(__xludf.DUMMYFUNCTION("""COMPUTED_VALUE"""),20)</f>
        <v>20</v>
      </c>
      <c r="E270" s="131"/>
      <c r="F270" s="132" t="str">
        <f ca="1">IFERROR(__xludf.DUMMYFUNCTION("""COMPUTED_VALUE"""),"ТУ 14-1-463-73, ГОСТ 2590 3гп без РТТ")</f>
        <v>ТУ 14-1-463-73, ГОСТ 2590 3гп без РТТ</v>
      </c>
      <c r="G270" s="133">
        <f ca="1">IFERROR(__xludf.DUMMYFUNCTION("""COMPUTED_VALUE"""),1.374)</f>
        <v>1.3740000000000001</v>
      </c>
      <c r="H270" s="133"/>
      <c r="I270" s="134">
        <f ca="1">IFERROR(__xludf.DUMMYFUNCTION("""COMPUTED_VALUE"""),1300000)</f>
        <v>1300000</v>
      </c>
    </row>
    <row r="271" spans="2:9" x14ac:dyDescent="0.3">
      <c r="B271" s="130" t="str">
        <f ca="1">IFERROR(__xludf.DUMMYFUNCTION("""COMPUTED_VALUE"""),"круг")</f>
        <v>круг</v>
      </c>
      <c r="C271" s="125" t="str">
        <f ca="1">IFERROR(__xludf.DUMMYFUNCTION("""COMPUTED_VALUE"""),"09Х16Н4Б -ш (ЭП56ш)")</f>
        <v>09Х16Н4Б -ш (ЭП56ш)</v>
      </c>
      <c r="D271" s="131">
        <f ca="1">IFERROR(__xludf.DUMMYFUNCTION("""COMPUTED_VALUE"""),36)</f>
        <v>36</v>
      </c>
      <c r="E271" s="131"/>
      <c r="F271" s="132" t="str">
        <f ca="1">IFERROR(__xludf.DUMMYFUNCTION("""COMPUTED_VALUE"""),"ТУ 14-1-463-73, ГОСТ 2590 3гп РТТ")</f>
        <v>ТУ 14-1-463-73, ГОСТ 2590 3гп РТТ</v>
      </c>
      <c r="G271" s="133">
        <f ca="1">IFERROR(__xludf.DUMMYFUNCTION("""COMPUTED_VALUE"""),1.604)</f>
        <v>1.6040000000000001</v>
      </c>
      <c r="H271" s="133"/>
      <c r="I271" s="134">
        <f ca="1">IFERROR(__xludf.DUMMYFUNCTION("""COMPUTED_VALUE"""),1300000)</f>
        <v>1300000</v>
      </c>
    </row>
    <row r="272" spans="2:9" x14ac:dyDescent="0.3">
      <c r="B272" s="130" t="str">
        <f ca="1">IFERROR(__xludf.DUMMYFUNCTION("""COMPUTED_VALUE"""),"круг")</f>
        <v>круг</v>
      </c>
      <c r="C272" s="125" t="str">
        <f ca="1">IFERROR(__xludf.DUMMYFUNCTION("""COMPUTED_VALUE"""),"09Х16Н4Б -ш (ЭП56ш)")</f>
        <v>09Х16Н4Б -ш (ЭП56ш)</v>
      </c>
      <c r="D272" s="131">
        <f ca="1">IFERROR(__xludf.DUMMYFUNCTION("""COMPUTED_VALUE"""),40)</f>
        <v>40</v>
      </c>
      <c r="E272" s="131"/>
      <c r="F272" s="132" t="str">
        <f ca="1">IFERROR(__xludf.DUMMYFUNCTION("""COMPUTED_VALUE"""),"ТУ 14-1-463-73, ГОСТ 2590 3гп РТТ")</f>
        <v>ТУ 14-1-463-73, ГОСТ 2590 3гп РТТ</v>
      </c>
      <c r="G272" s="133">
        <f ca="1">IFERROR(__xludf.DUMMYFUNCTION("""COMPUTED_VALUE"""),1.91)</f>
        <v>1.91</v>
      </c>
      <c r="H272" s="133"/>
      <c r="I272" s="134">
        <f ca="1">IFERROR(__xludf.DUMMYFUNCTION("""COMPUTED_VALUE"""),1300000)</f>
        <v>1300000</v>
      </c>
    </row>
    <row r="273" spans="2:9" x14ac:dyDescent="0.3">
      <c r="B273" s="130" t="str">
        <f ca="1">IFERROR(__xludf.DUMMYFUNCTION("""COMPUTED_VALUE"""),"круг")</f>
        <v>круг</v>
      </c>
      <c r="C273" s="125" t="str">
        <f ca="1">IFERROR(__xludf.DUMMYFUNCTION("""COMPUTED_VALUE"""),"09Х16Н4Б -ш (ЭП56ш)")</f>
        <v>09Х16Н4Б -ш (ЭП56ш)</v>
      </c>
      <c r="D273" s="131">
        <f ca="1">IFERROR(__xludf.DUMMYFUNCTION("""COMPUTED_VALUE"""),45)</f>
        <v>45</v>
      </c>
      <c r="E273" s="131"/>
      <c r="F273" s="132" t="str">
        <f ca="1">IFERROR(__xludf.DUMMYFUNCTION("""COMPUTED_VALUE"""),"ТУ 14-1-463-73, ГОСТ 2590 3гп РТТ")</f>
        <v>ТУ 14-1-463-73, ГОСТ 2590 3гп РТТ</v>
      </c>
      <c r="G273" s="133">
        <f ca="1">IFERROR(__xludf.DUMMYFUNCTION("""COMPUTED_VALUE"""),1.887)</f>
        <v>1.887</v>
      </c>
      <c r="H273" s="133"/>
      <c r="I273" s="134">
        <f ca="1">IFERROR(__xludf.DUMMYFUNCTION("""COMPUTED_VALUE"""),1300000)</f>
        <v>1300000</v>
      </c>
    </row>
    <row r="274" spans="2:9" x14ac:dyDescent="0.3">
      <c r="B274" s="130" t="str">
        <f ca="1">IFERROR(__xludf.DUMMYFUNCTION("""COMPUTED_VALUE"""),"круг")</f>
        <v>круг</v>
      </c>
      <c r="C274" s="125" t="str">
        <f ca="1">IFERROR(__xludf.DUMMYFUNCTION("""COMPUTED_VALUE"""),"09Х16Н4Б (ЭП56)  калибр")</f>
        <v>09Х16Н4Б (ЭП56)  калибр</v>
      </c>
      <c r="D274" s="131">
        <f ca="1">IFERROR(__xludf.DUMMYFUNCTION("""COMPUTED_VALUE"""),3)</f>
        <v>3</v>
      </c>
      <c r="E274" s="131"/>
      <c r="F274" s="132" t="str">
        <f ca="1">IFERROR(__xludf.DUMMYFUNCTION("""COMPUTED_VALUE"""),"ту 3564, ГОСТ 14955, РТТ? h9")</f>
        <v>ту 3564, ГОСТ 14955, РТТ? h9</v>
      </c>
      <c r="G274" s="133">
        <f ca="1">IFERROR(__xludf.DUMMYFUNCTION("""COMPUTED_VALUE"""),0.05)</f>
        <v>0.05</v>
      </c>
      <c r="H274" s="133"/>
      <c r="I274" s="134">
        <f ca="1">IFERROR(__xludf.DUMMYFUNCTION("""COMPUTED_VALUE"""),3000000)</f>
        <v>3000000</v>
      </c>
    </row>
    <row r="275" spans="2:9" x14ac:dyDescent="0.3">
      <c r="B275" s="130" t="str">
        <f ca="1">IFERROR(__xludf.DUMMYFUNCTION("""COMPUTED_VALUE"""),"круг")</f>
        <v>круг</v>
      </c>
      <c r="C275" s="125" t="str">
        <f ca="1">IFERROR(__xludf.DUMMYFUNCTION("""COMPUTED_VALUE"""),"09Х16Н4Б (ЭП56)  калибр")</f>
        <v>09Х16Н4Б (ЭП56)  калибр</v>
      </c>
      <c r="D275" s="131">
        <f ca="1">IFERROR(__xludf.DUMMYFUNCTION("""COMPUTED_VALUE"""),4)</f>
        <v>4</v>
      </c>
      <c r="E275" s="131"/>
      <c r="F275" s="132" t="str">
        <f ca="1">IFERROR(__xludf.DUMMYFUNCTION("""COMPUTED_VALUE"""),"ту 3564, ГОСТ 14955, РТТ? h9")</f>
        <v>ту 3564, ГОСТ 14955, РТТ? h9</v>
      </c>
      <c r="G275" s="133">
        <f ca="1">IFERROR(__xludf.DUMMYFUNCTION("""COMPUTED_VALUE"""),0.05)</f>
        <v>0.05</v>
      </c>
      <c r="H275" s="133"/>
      <c r="I275" s="134">
        <f ca="1">IFERROR(__xludf.DUMMYFUNCTION("""COMPUTED_VALUE"""),3000000)</f>
        <v>3000000</v>
      </c>
    </row>
    <row r="276" spans="2:9" x14ac:dyDescent="0.3">
      <c r="B276" s="130" t="str">
        <f ca="1">IFERROR(__xludf.DUMMYFUNCTION("""COMPUTED_VALUE"""),"круг")</f>
        <v>круг</v>
      </c>
      <c r="C276" s="125" t="str">
        <f ca="1">IFERROR(__xludf.DUMMYFUNCTION("""COMPUTED_VALUE"""),"09Х16Н4Б (ЭП56)  калибр")</f>
        <v>09Х16Н4Б (ЭП56)  калибр</v>
      </c>
      <c r="D276" s="131">
        <f ca="1">IFERROR(__xludf.DUMMYFUNCTION("""COMPUTED_VALUE"""),5)</f>
        <v>5</v>
      </c>
      <c r="E276" s="131"/>
      <c r="F276" s="132" t="str">
        <f ca="1">IFERROR(__xludf.DUMMYFUNCTION("""COMPUTED_VALUE"""),"ту 3564, ГОСТ 14955, РТТ? h9")</f>
        <v>ту 3564, ГОСТ 14955, РТТ? h9</v>
      </c>
      <c r="G276" s="133">
        <f ca="1">IFERROR(__xludf.DUMMYFUNCTION("""COMPUTED_VALUE"""),0.1)</f>
        <v>0.1</v>
      </c>
      <c r="H276" s="133"/>
      <c r="I276" s="134">
        <f ca="1">IFERROR(__xludf.DUMMYFUNCTION("""COMPUTED_VALUE"""),2100000)</f>
        <v>2100000</v>
      </c>
    </row>
    <row r="277" spans="2:9" x14ac:dyDescent="0.3">
      <c r="B277" s="130" t="str">
        <f ca="1">IFERROR(__xludf.DUMMYFUNCTION("""COMPUTED_VALUE"""),"круг")</f>
        <v>круг</v>
      </c>
      <c r="C277" s="125" t="str">
        <f ca="1">IFERROR(__xludf.DUMMYFUNCTION("""COMPUTED_VALUE"""),"09Х16Н4Б (ЭП56)  калибр")</f>
        <v>09Х16Н4Б (ЭП56)  калибр</v>
      </c>
      <c r="D277" s="131">
        <f ca="1">IFERROR(__xludf.DUMMYFUNCTION("""COMPUTED_VALUE"""),6)</f>
        <v>6</v>
      </c>
      <c r="E277" s="131"/>
      <c r="F277" s="132" t="str">
        <f ca="1">IFERROR(__xludf.DUMMYFUNCTION("""COMPUTED_VALUE"""),"ту 3564, ГОСТ 14955, РТТ? h9")</f>
        <v>ту 3564, ГОСТ 14955, РТТ? h9</v>
      </c>
      <c r="G277" s="133">
        <f ca="1">IFERROR(__xludf.DUMMYFUNCTION("""COMPUTED_VALUE"""),0.2)</f>
        <v>0.2</v>
      </c>
      <c r="H277" s="133"/>
      <c r="I277" s="134">
        <f ca="1">IFERROR(__xludf.DUMMYFUNCTION("""COMPUTED_VALUE"""),2100000)</f>
        <v>2100000</v>
      </c>
    </row>
    <row r="278" spans="2:9" x14ac:dyDescent="0.3">
      <c r="B278" s="130" t="str">
        <f ca="1">IFERROR(__xludf.DUMMYFUNCTION("""COMPUTED_VALUE"""),"круг")</f>
        <v>круг</v>
      </c>
      <c r="C278" s="125" t="str">
        <f ca="1">IFERROR(__xludf.DUMMYFUNCTION("""COMPUTED_VALUE"""),"09Х16Н4Б (ЭП56)  калибр")</f>
        <v>09Х16Н4Б (ЭП56)  калибр</v>
      </c>
      <c r="D278" s="131">
        <f ca="1">IFERROR(__xludf.DUMMYFUNCTION("""COMPUTED_VALUE"""),8)</f>
        <v>8</v>
      </c>
      <c r="E278" s="131"/>
      <c r="F278" s="132" t="str">
        <f ca="1">IFERROR(__xludf.DUMMYFUNCTION("""COMPUTED_VALUE"""),"ту 3564, ГОСТ 14955, РТТ? h9")</f>
        <v>ту 3564, ГОСТ 14955, РТТ? h9</v>
      </c>
      <c r="G278" s="133">
        <f ca="1">IFERROR(__xludf.DUMMYFUNCTION("""COMPUTED_VALUE"""),0.3)</f>
        <v>0.3</v>
      </c>
      <c r="H278" s="133"/>
      <c r="I278" s="134">
        <f ca="1">IFERROR(__xludf.DUMMYFUNCTION("""COMPUTED_VALUE"""),2100000)</f>
        <v>2100000</v>
      </c>
    </row>
    <row r="279" spans="2:9" x14ac:dyDescent="0.3">
      <c r="B279" s="130" t="str">
        <f ca="1">IFERROR(__xludf.DUMMYFUNCTION("""COMPUTED_VALUE"""),"круг")</f>
        <v>круг</v>
      </c>
      <c r="C279" s="125" t="str">
        <f ca="1">IFERROR(__xludf.DUMMYFUNCTION("""COMPUTED_VALUE"""),"09Х16Н4Б (ЭП56)  калибр")</f>
        <v>09Х16Н4Б (ЭП56)  калибр</v>
      </c>
      <c r="D279" s="131">
        <f ca="1">IFERROR(__xludf.DUMMYFUNCTION("""COMPUTED_VALUE"""),10)</f>
        <v>10</v>
      </c>
      <c r="E279" s="131"/>
      <c r="F279" s="132" t="str">
        <f ca="1">IFERROR(__xludf.DUMMYFUNCTION("""COMPUTED_VALUE"""),"ту 3564, ГОСТ 14955, РТТ? h9")</f>
        <v>ту 3564, ГОСТ 14955, РТТ? h9</v>
      </c>
      <c r="G279" s="133">
        <f ca="1">IFERROR(__xludf.DUMMYFUNCTION("""COMPUTED_VALUE"""),0.3)</f>
        <v>0.3</v>
      </c>
      <c r="H279" s="133"/>
      <c r="I279" s="134">
        <f ca="1">IFERROR(__xludf.DUMMYFUNCTION("""COMPUTED_VALUE"""),2100000)</f>
        <v>2100000</v>
      </c>
    </row>
    <row r="280" spans="2:9" x14ac:dyDescent="0.3">
      <c r="B280" s="130" t="str">
        <f ca="1">IFERROR(__xludf.DUMMYFUNCTION("""COMPUTED_VALUE"""),"круг")</f>
        <v>круг</v>
      </c>
      <c r="C280" s="125" t="str">
        <f ca="1">IFERROR(__xludf.DUMMYFUNCTION("""COMPUTED_VALUE"""),"09Х16Н4Б (ЭП56)  калибр")</f>
        <v>09Х16Н4Б (ЭП56)  калибр</v>
      </c>
      <c r="D280" s="131">
        <f ca="1">IFERROR(__xludf.DUMMYFUNCTION("""COMPUTED_VALUE"""),12)</f>
        <v>12</v>
      </c>
      <c r="E280" s="131"/>
      <c r="F280" s="132" t="str">
        <f ca="1">IFERROR(__xludf.DUMMYFUNCTION("""COMPUTED_VALUE"""),"ту 3564, ГОСТ 14955, РТТ? h9")</f>
        <v>ту 3564, ГОСТ 14955, РТТ? h9</v>
      </c>
      <c r="G280" s="133">
        <f ca="1">IFERROR(__xludf.DUMMYFUNCTION("""COMPUTED_VALUE"""),0.3)</f>
        <v>0.3</v>
      </c>
      <c r="H280" s="133"/>
      <c r="I280" s="134">
        <f ca="1">IFERROR(__xludf.DUMMYFUNCTION("""COMPUTED_VALUE"""),2100000)</f>
        <v>2100000</v>
      </c>
    </row>
    <row r="281" spans="2:9" x14ac:dyDescent="0.3">
      <c r="B281" s="130" t="str">
        <f ca="1">IFERROR(__xludf.DUMMYFUNCTION("""COMPUTED_VALUE"""),"круг")</f>
        <v>круг</v>
      </c>
      <c r="C281" s="125" t="str">
        <f ca="1">IFERROR(__xludf.DUMMYFUNCTION("""COMPUTED_VALUE"""),"09Х16Н4Б (ЭП56)  калибр")</f>
        <v>09Х16Н4Б (ЭП56)  калибр</v>
      </c>
      <c r="D281" s="131">
        <f ca="1">IFERROR(__xludf.DUMMYFUNCTION("""COMPUTED_VALUE"""),14)</f>
        <v>14</v>
      </c>
      <c r="E281" s="131"/>
      <c r="F281" s="132" t="str">
        <f ca="1">IFERROR(__xludf.DUMMYFUNCTION("""COMPUTED_VALUE"""),"ту 3564, ГОСТ 14955, РТТ? h9")</f>
        <v>ту 3564, ГОСТ 14955, РТТ? h9</v>
      </c>
      <c r="G281" s="133">
        <f ca="1">IFERROR(__xludf.DUMMYFUNCTION("""COMPUTED_VALUE"""),0.3)</f>
        <v>0.3</v>
      </c>
      <c r="H281" s="133"/>
      <c r="I281" s="134">
        <f ca="1">IFERROR(__xludf.DUMMYFUNCTION("""COMPUTED_VALUE"""),2100000)</f>
        <v>2100000</v>
      </c>
    </row>
    <row r="282" spans="2:9" x14ac:dyDescent="0.3">
      <c r="B282" s="130" t="str">
        <f ca="1">IFERROR(__xludf.DUMMYFUNCTION("""COMPUTED_VALUE"""),"круг")</f>
        <v>круг</v>
      </c>
      <c r="C282" s="125" t="str">
        <f ca="1">IFERROR(__xludf.DUMMYFUNCTION("""COMPUTED_VALUE"""),"09Х16Н4Б (ЭП56)  калибр")</f>
        <v>09Х16Н4Б (ЭП56)  калибр</v>
      </c>
      <c r="D282" s="131">
        <f ca="1">IFERROR(__xludf.DUMMYFUNCTION("""COMPUTED_VALUE"""),16)</f>
        <v>16</v>
      </c>
      <c r="E282" s="131"/>
      <c r="F282" s="132" t="str">
        <f ca="1">IFERROR(__xludf.DUMMYFUNCTION("""COMPUTED_VALUE"""),"ту 3564, ГОСТ 14955, РТТ? h9")</f>
        <v>ту 3564, ГОСТ 14955, РТТ? h9</v>
      </c>
      <c r="G282" s="133">
        <f ca="1">IFERROR(__xludf.DUMMYFUNCTION("""COMPUTED_VALUE"""),0.3)</f>
        <v>0.3</v>
      </c>
      <c r="H282" s="133"/>
      <c r="I282" s="134">
        <f ca="1">IFERROR(__xludf.DUMMYFUNCTION("""COMPUTED_VALUE"""),1900000)</f>
        <v>1900000</v>
      </c>
    </row>
    <row r="283" spans="2:9" x14ac:dyDescent="0.3">
      <c r="B283" s="130" t="str">
        <f ca="1">IFERROR(__xludf.DUMMYFUNCTION("""COMPUTED_VALUE"""),"круг")</f>
        <v>круг</v>
      </c>
      <c r="C283" s="125" t="str">
        <f ca="1">IFERROR(__xludf.DUMMYFUNCTION("""COMPUTED_VALUE"""),"09Х16Н4Б (ЭП56)  калибр")</f>
        <v>09Х16Н4Б (ЭП56)  калибр</v>
      </c>
      <c r="D283" s="131">
        <f ca="1">IFERROR(__xludf.DUMMYFUNCTION("""COMPUTED_VALUE"""),18)</f>
        <v>18</v>
      </c>
      <c r="E283" s="131"/>
      <c r="F283" s="132" t="str">
        <f ca="1">IFERROR(__xludf.DUMMYFUNCTION("""COMPUTED_VALUE"""),"ту 3564, ГОСТ 14955, РТТ? h9")</f>
        <v>ту 3564, ГОСТ 14955, РТТ? h9</v>
      </c>
      <c r="G283" s="133">
        <f ca="1">IFERROR(__xludf.DUMMYFUNCTION("""COMPUTED_VALUE"""),0.3)</f>
        <v>0.3</v>
      </c>
      <c r="H283" s="133"/>
      <c r="I283" s="134">
        <f ca="1">IFERROR(__xludf.DUMMYFUNCTION("""COMPUTED_VALUE"""),1900000)</f>
        <v>1900000</v>
      </c>
    </row>
    <row r="284" spans="2:9" x14ac:dyDescent="0.3">
      <c r="B284" s="130" t="str">
        <f ca="1">IFERROR(__xludf.DUMMYFUNCTION("""COMPUTED_VALUE"""),"круг")</f>
        <v>круг</v>
      </c>
      <c r="C284" s="125" t="str">
        <f ca="1">IFERROR(__xludf.DUMMYFUNCTION("""COMPUTED_VALUE"""),"09Х16Н4Б (ЭП56)  калибр")</f>
        <v>09Х16Н4Б (ЭП56)  калибр</v>
      </c>
      <c r="D284" s="131">
        <f ca="1">IFERROR(__xludf.DUMMYFUNCTION("""COMPUTED_VALUE"""),20)</f>
        <v>20</v>
      </c>
      <c r="E284" s="131"/>
      <c r="F284" s="132" t="str">
        <f ca="1">IFERROR(__xludf.DUMMYFUNCTION("""COMPUTED_VALUE"""),"ту 3564, ГОСТ 14955, РТТ? h9")</f>
        <v>ту 3564, ГОСТ 14955, РТТ? h9</v>
      </c>
      <c r="G284" s="133">
        <f ca="1">IFERROR(__xludf.DUMMYFUNCTION("""COMPUTED_VALUE"""),0.3)</f>
        <v>0.3</v>
      </c>
      <c r="H284" s="133"/>
      <c r="I284" s="134">
        <f ca="1">IFERROR(__xludf.DUMMYFUNCTION("""COMPUTED_VALUE"""),1900000)</f>
        <v>1900000</v>
      </c>
    </row>
    <row r="285" spans="2:9" x14ac:dyDescent="0.3">
      <c r="B285" s="130" t="str">
        <f ca="1">IFERROR(__xludf.DUMMYFUNCTION("""COMPUTED_VALUE"""),"круг")</f>
        <v>круг</v>
      </c>
      <c r="C285" s="125" t="str">
        <f ca="1">IFERROR(__xludf.DUMMYFUNCTION("""COMPUTED_VALUE"""),"09Х16Н4Б (ЭП56)")</f>
        <v>09Х16Н4Б (ЭП56)</v>
      </c>
      <c r="D285" s="131">
        <f ca="1">IFERROR(__xludf.DUMMYFUNCTION("""COMPUTED_VALUE"""),8)</f>
        <v>8</v>
      </c>
      <c r="E285" s="131"/>
      <c r="F285" s="132" t="str">
        <f ca="1">IFERROR(__xludf.DUMMYFUNCTION("""COMPUTED_VALUE"""),"2590/14-1-3564 РТТ, 3ГП")</f>
        <v>2590/14-1-3564 РТТ, 3ГП</v>
      </c>
      <c r="G285" s="133">
        <f ca="1">IFERROR(__xludf.DUMMYFUNCTION("""COMPUTED_VALUE"""),0.5)</f>
        <v>0.5</v>
      </c>
      <c r="H285" s="133"/>
      <c r="I285" s="134">
        <f ca="1">IFERROR(__xludf.DUMMYFUNCTION("""COMPUTED_VALUE"""),800000)</f>
        <v>800000</v>
      </c>
    </row>
    <row r="286" spans="2:9" x14ac:dyDescent="0.3">
      <c r="B286" s="130" t="str">
        <f ca="1">IFERROR(__xludf.DUMMYFUNCTION("""COMPUTED_VALUE"""),"круг")</f>
        <v>круг</v>
      </c>
      <c r="C286" s="125" t="str">
        <f ca="1">IFERROR(__xludf.DUMMYFUNCTION("""COMPUTED_VALUE"""),"09Х16Н4Б (ЭП56)")</f>
        <v>09Х16Н4Б (ЭП56)</v>
      </c>
      <c r="D286" s="131">
        <f ca="1">IFERROR(__xludf.DUMMYFUNCTION("""COMPUTED_VALUE"""),10)</f>
        <v>10</v>
      </c>
      <c r="E286" s="131"/>
      <c r="F286" s="132" t="str">
        <f ca="1">IFERROR(__xludf.DUMMYFUNCTION("""COMPUTED_VALUE"""),"2590/14-1-3564 РТТ, 3ГП")</f>
        <v>2590/14-1-3564 РТТ, 3ГП</v>
      </c>
      <c r="G286" s="133">
        <f ca="1">IFERROR(__xludf.DUMMYFUNCTION("""COMPUTED_VALUE"""),1)</f>
        <v>1</v>
      </c>
      <c r="H286" s="133"/>
      <c r="I286" s="134">
        <f ca="1">IFERROR(__xludf.DUMMYFUNCTION("""COMPUTED_VALUE"""),800000)</f>
        <v>800000</v>
      </c>
    </row>
    <row r="287" spans="2:9" x14ac:dyDescent="0.3">
      <c r="B287" s="130" t="str">
        <f ca="1">IFERROR(__xludf.DUMMYFUNCTION("""COMPUTED_VALUE"""),"круг")</f>
        <v>круг</v>
      </c>
      <c r="C287" s="125" t="str">
        <f ca="1">IFERROR(__xludf.DUMMYFUNCTION("""COMPUTED_VALUE"""),"09Х16Н4Б (ЭП56)")</f>
        <v>09Х16Н4Б (ЭП56)</v>
      </c>
      <c r="D287" s="131">
        <f ca="1">IFERROR(__xludf.DUMMYFUNCTION("""COMPUTED_VALUE"""),12)</f>
        <v>12</v>
      </c>
      <c r="E287" s="131"/>
      <c r="F287" s="132" t="str">
        <f ca="1">IFERROR(__xludf.DUMMYFUNCTION("""COMPUTED_VALUE"""),"ту14-1-3564, РТТ, УЗК,2ГП, ")</f>
        <v xml:space="preserve">ту14-1-3564, РТТ, УЗК,2ГП, </v>
      </c>
      <c r="G287" s="133">
        <f ca="1">IFERROR(__xludf.DUMMYFUNCTION("""COMPUTED_VALUE"""),0.208999999999999)</f>
        <v>0.20899999999999899</v>
      </c>
      <c r="H287" s="133"/>
      <c r="I287" s="134">
        <f ca="1">IFERROR(__xludf.DUMMYFUNCTION("""COMPUTED_VALUE"""),680000)</f>
        <v>680000</v>
      </c>
    </row>
    <row r="288" spans="2:9" x14ac:dyDescent="0.3">
      <c r="B288" s="130" t="str">
        <f ca="1">IFERROR(__xludf.DUMMYFUNCTION("""COMPUTED_VALUE"""),"круг")</f>
        <v>круг</v>
      </c>
      <c r="C288" s="125" t="str">
        <f ca="1">IFERROR(__xludf.DUMMYFUNCTION("""COMPUTED_VALUE"""),"09Х16Н4Б (ЭП56)")</f>
        <v>09Х16Н4Б (ЭП56)</v>
      </c>
      <c r="D288" s="131">
        <f ca="1">IFERROR(__xludf.DUMMYFUNCTION("""COMPUTED_VALUE"""),14)</f>
        <v>14</v>
      </c>
      <c r="E288" s="131"/>
      <c r="F288" s="132" t="str">
        <f ca="1">IFERROR(__xludf.DUMMYFUNCTION("""COMPUTED_VALUE"""),"2590/5949, РТТ 3ГП")</f>
        <v>2590/5949, РТТ 3ГП</v>
      </c>
      <c r="G288" s="133">
        <f ca="1">IFERROR(__xludf.DUMMYFUNCTION("""COMPUTED_VALUE"""),0.5)</f>
        <v>0.5</v>
      </c>
      <c r="H288" s="133"/>
      <c r="I288" s="134">
        <f ca="1">IFERROR(__xludf.DUMMYFUNCTION("""COMPUTED_VALUE"""),800000)</f>
        <v>800000</v>
      </c>
    </row>
    <row r="289" spans="2:9" x14ac:dyDescent="0.3">
      <c r="B289" s="130" t="str">
        <f ca="1">IFERROR(__xludf.DUMMYFUNCTION("""COMPUTED_VALUE"""),"круг")</f>
        <v>круг</v>
      </c>
      <c r="C289" s="125" t="str">
        <f ca="1">IFERROR(__xludf.DUMMYFUNCTION("""COMPUTED_VALUE"""),"09Х16Н4Б (ЭП56)")</f>
        <v>09Х16Н4Б (ЭП56)</v>
      </c>
      <c r="D289" s="131">
        <f ca="1">IFERROR(__xludf.DUMMYFUNCTION("""COMPUTED_VALUE"""),15)</f>
        <v>15</v>
      </c>
      <c r="E289" s="131"/>
      <c r="F289" s="132" t="str">
        <f ca="1">IFERROR(__xludf.DUMMYFUNCTION("""COMPUTED_VALUE"""),"2590/14-1-3564 РТТ, 3ГП")</f>
        <v>2590/14-1-3564 РТТ, 3ГП</v>
      </c>
      <c r="G289" s="133">
        <f ca="1">IFERROR(__xludf.DUMMYFUNCTION("""COMPUTED_VALUE"""),1)</f>
        <v>1</v>
      </c>
      <c r="H289" s="133"/>
      <c r="I289" s="134">
        <f ca="1">IFERROR(__xludf.DUMMYFUNCTION("""COMPUTED_VALUE"""),800000)</f>
        <v>800000</v>
      </c>
    </row>
    <row r="290" spans="2:9" x14ac:dyDescent="0.3">
      <c r="B290" s="130" t="str">
        <f ca="1">IFERROR(__xludf.DUMMYFUNCTION("""COMPUTED_VALUE"""),"круг")</f>
        <v>круг</v>
      </c>
      <c r="C290" s="125" t="str">
        <f ca="1">IFERROR(__xludf.DUMMYFUNCTION("""COMPUTED_VALUE"""),"09Х16Н4Б (ЭП56)")</f>
        <v>09Х16Н4Б (ЭП56)</v>
      </c>
      <c r="D290" s="131">
        <f ca="1">IFERROR(__xludf.DUMMYFUNCTION("""COMPUTED_VALUE"""),18)</f>
        <v>18</v>
      </c>
      <c r="E290" s="131"/>
      <c r="F290" s="132" t="str">
        <f ca="1">IFERROR(__xludf.DUMMYFUNCTION("""COMPUTED_VALUE"""),"2590/5949, РТТ 3ГП")</f>
        <v>2590/5949, РТТ 3ГП</v>
      </c>
      <c r="G290" s="133">
        <f ca="1">IFERROR(__xludf.DUMMYFUNCTION("""COMPUTED_VALUE"""),0.5)</f>
        <v>0.5</v>
      </c>
      <c r="H290" s="133"/>
      <c r="I290" s="134">
        <f ca="1">IFERROR(__xludf.DUMMYFUNCTION("""COMPUTED_VALUE"""),750000)</f>
        <v>750000</v>
      </c>
    </row>
    <row r="291" spans="2:9" x14ac:dyDescent="0.3">
      <c r="B291" s="130" t="str">
        <f ca="1">IFERROR(__xludf.DUMMYFUNCTION("""COMPUTED_VALUE"""),"круг")</f>
        <v>круг</v>
      </c>
      <c r="C291" s="125" t="str">
        <f ca="1">IFERROR(__xludf.DUMMYFUNCTION("""COMPUTED_VALUE"""),"09Х16Н4Б (ЭП56)")</f>
        <v>09Х16Н4Б (ЭП56)</v>
      </c>
      <c r="D291" s="131">
        <f ca="1">IFERROR(__xludf.DUMMYFUNCTION("""COMPUTED_VALUE"""),18)</f>
        <v>18</v>
      </c>
      <c r="E291" s="131"/>
      <c r="F291" s="132" t="str">
        <f ca="1">IFERROR(__xludf.DUMMYFUNCTION("""COMPUTED_VALUE"""),"ту14-1-3564, РТТ, УЗК,2ГП, ")</f>
        <v xml:space="preserve">ту14-1-3564, РТТ, УЗК,2ГП, </v>
      </c>
      <c r="G291" s="133">
        <f ca="1">IFERROR(__xludf.DUMMYFUNCTION("""COMPUTED_VALUE"""),0.0139999999999997)</f>
        <v>1.39999999999997E-2</v>
      </c>
      <c r="H291" s="133"/>
      <c r="I291" s="134">
        <f ca="1">IFERROR(__xludf.DUMMYFUNCTION("""COMPUTED_VALUE"""),680000)</f>
        <v>680000</v>
      </c>
    </row>
    <row r="292" spans="2:9" x14ac:dyDescent="0.3">
      <c r="B292" s="130" t="str">
        <f ca="1">IFERROR(__xludf.DUMMYFUNCTION("""COMPUTED_VALUE"""),"круг")</f>
        <v>круг</v>
      </c>
      <c r="C292" s="125" t="str">
        <f ca="1">IFERROR(__xludf.DUMMYFUNCTION("""COMPUTED_VALUE"""),"09Х16Н4Б (ЭП56)")</f>
        <v>09Х16Н4Б (ЭП56)</v>
      </c>
      <c r="D292" s="131">
        <f ca="1">IFERROR(__xludf.DUMMYFUNCTION("""COMPUTED_VALUE"""),20)</f>
        <v>20</v>
      </c>
      <c r="E292" s="131"/>
      <c r="F292" s="132" t="str">
        <f ca="1">IFERROR(__xludf.DUMMYFUNCTION("""COMPUTED_VALUE"""),"ту14-1-3564, РТТ, УЗК,2ГП, ")</f>
        <v xml:space="preserve">ту14-1-3564, РТТ, УЗК,2ГП, </v>
      </c>
      <c r="G292" s="133">
        <f ca="1">IFERROR(__xludf.DUMMYFUNCTION("""COMPUTED_VALUE"""),0.502)</f>
        <v>0.502</v>
      </c>
      <c r="H292" s="133"/>
      <c r="I292" s="134">
        <f ca="1">IFERROR(__xludf.DUMMYFUNCTION("""COMPUTED_VALUE"""),850000)</f>
        <v>850000</v>
      </c>
    </row>
    <row r="293" spans="2:9" x14ac:dyDescent="0.3">
      <c r="B293" s="130" t="str">
        <f ca="1">IFERROR(__xludf.DUMMYFUNCTION("""COMPUTED_VALUE"""),"круг")</f>
        <v>круг</v>
      </c>
      <c r="C293" s="125" t="str">
        <f ca="1">IFERROR(__xludf.DUMMYFUNCTION("""COMPUTED_VALUE"""),"09Х16Н4Б (ЭП56)")</f>
        <v>09Х16Н4Б (ЭП56)</v>
      </c>
      <c r="D293" s="131">
        <f ca="1">IFERROR(__xludf.DUMMYFUNCTION("""COMPUTED_VALUE"""),20)</f>
        <v>20</v>
      </c>
      <c r="E293" s="131"/>
      <c r="F293" s="132" t="str">
        <f ca="1">IFERROR(__xludf.DUMMYFUNCTION("""COMPUTED_VALUE"""),"ту14-1-3564, РТТ, УЗК,2ГП, ")</f>
        <v xml:space="preserve">ту14-1-3564, РТТ, УЗК,2ГП, </v>
      </c>
      <c r="G293" s="133">
        <f ca="1">IFERROR(__xludf.DUMMYFUNCTION("""COMPUTED_VALUE"""),1.5)</f>
        <v>1.5</v>
      </c>
      <c r="H293" s="133"/>
      <c r="I293" s="134">
        <f ca="1">IFERROR(__xludf.DUMMYFUNCTION("""COMPUTED_VALUE"""),850000)</f>
        <v>850000</v>
      </c>
    </row>
    <row r="294" spans="2:9" x14ac:dyDescent="0.3">
      <c r="B294" s="130" t="str">
        <f ca="1">IFERROR(__xludf.DUMMYFUNCTION("""COMPUTED_VALUE"""),"круг")</f>
        <v>круг</v>
      </c>
      <c r="C294" s="125" t="str">
        <f ca="1">IFERROR(__xludf.DUMMYFUNCTION("""COMPUTED_VALUE"""),"09Х16Н4Б (ЭП56)")</f>
        <v>09Х16Н4Б (ЭП56)</v>
      </c>
      <c r="D294" s="131">
        <f ca="1">IFERROR(__xludf.DUMMYFUNCTION("""COMPUTED_VALUE"""),22)</f>
        <v>22</v>
      </c>
      <c r="E294" s="131"/>
      <c r="F294" s="132" t="str">
        <f ca="1">IFERROR(__xludf.DUMMYFUNCTION("""COMPUTED_VALUE"""),"2590/14-1-3564 РТТ, 3ГП")</f>
        <v>2590/14-1-3564 РТТ, 3ГП</v>
      </c>
      <c r="G294" s="133">
        <f ca="1">IFERROR(__xludf.DUMMYFUNCTION("""COMPUTED_VALUE"""),1.5)</f>
        <v>1.5</v>
      </c>
      <c r="H294" s="133"/>
      <c r="I294" s="134">
        <f ca="1">IFERROR(__xludf.DUMMYFUNCTION("""COMPUTED_VALUE"""),750000)</f>
        <v>750000</v>
      </c>
    </row>
    <row r="295" spans="2:9" x14ac:dyDescent="0.3">
      <c r="B295" s="130" t="str">
        <f ca="1">IFERROR(__xludf.DUMMYFUNCTION("""COMPUTED_VALUE"""),"круг")</f>
        <v>круг</v>
      </c>
      <c r="C295" s="125" t="str">
        <f ca="1">IFERROR(__xludf.DUMMYFUNCTION("""COMPUTED_VALUE"""),"09Х16Н4Б (ЭП56)")</f>
        <v>09Х16Н4Б (ЭП56)</v>
      </c>
      <c r="D295" s="131">
        <f ca="1">IFERROR(__xludf.DUMMYFUNCTION("""COMPUTED_VALUE"""),24)</f>
        <v>24</v>
      </c>
      <c r="E295" s="131"/>
      <c r="F295" s="132" t="str">
        <f ca="1">IFERROR(__xludf.DUMMYFUNCTION("""COMPUTED_VALUE"""),"2590/14-1-3564 РТТ, 3ГП")</f>
        <v>2590/14-1-3564 РТТ, 3ГП</v>
      </c>
      <c r="G295" s="133">
        <f ca="1">IFERROR(__xludf.DUMMYFUNCTION("""COMPUTED_VALUE"""),0.5)</f>
        <v>0.5</v>
      </c>
      <c r="H295" s="133"/>
      <c r="I295" s="134">
        <f ca="1">IFERROR(__xludf.DUMMYFUNCTION("""COMPUTED_VALUE"""),750000)</f>
        <v>750000</v>
      </c>
    </row>
    <row r="296" spans="2:9" x14ac:dyDescent="0.3">
      <c r="B296" s="130" t="str">
        <f ca="1">IFERROR(__xludf.DUMMYFUNCTION("""COMPUTED_VALUE"""),"круг")</f>
        <v>круг</v>
      </c>
      <c r="C296" s="125" t="str">
        <f ca="1">IFERROR(__xludf.DUMMYFUNCTION("""COMPUTED_VALUE"""),"09Х16Н4Б (ЭП56)")</f>
        <v>09Х16Н4Б (ЭП56)</v>
      </c>
      <c r="D296" s="131">
        <f ca="1">IFERROR(__xludf.DUMMYFUNCTION("""COMPUTED_VALUE"""),25)</f>
        <v>25</v>
      </c>
      <c r="E296" s="131"/>
      <c r="F296" s="132" t="str">
        <f ca="1">IFERROR(__xludf.DUMMYFUNCTION("""COMPUTED_VALUE"""),"ТУ 14-1-3564, ГОСТ 2590 отжиг, 3гп, КД-5203")</f>
        <v>ТУ 14-1-3564, ГОСТ 2590 отжиг, 3гп, КД-5203</v>
      </c>
      <c r="G296" s="133">
        <f ca="1">IFERROR(__xludf.DUMMYFUNCTION("""COMPUTED_VALUE"""),0.958)</f>
        <v>0.95799999999999996</v>
      </c>
      <c r="H296" s="133"/>
      <c r="I296" s="134">
        <f ca="1">IFERROR(__xludf.DUMMYFUNCTION("""COMPUTED_VALUE"""),850000)</f>
        <v>850000</v>
      </c>
    </row>
    <row r="297" spans="2:9" x14ac:dyDescent="0.3">
      <c r="B297" s="130" t="str">
        <f ca="1">IFERROR(__xludf.DUMMYFUNCTION("""COMPUTED_VALUE"""),"круг")</f>
        <v>круг</v>
      </c>
      <c r="C297" s="125" t="str">
        <f ca="1">IFERROR(__xludf.DUMMYFUNCTION("""COMPUTED_VALUE"""),"09Х16Н4Б (ЭП56)")</f>
        <v>09Х16Н4Б (ЭП56)</v>
      </c>
      <c r="D297" s="131">
        <f ca="1">IFERROR(__xludf.DUMMYFUNCTION("""COMPUTED_VALUE"""),25)</f>
        <v>25</v>
      </c>
      <c r="E297" s="131"/>
      <c r="F297" s="132" t="str">
        <f ca="1">IFERROR(__xludf.DUMMYFUNCTION("""COMPUTED_VALUE"""),"ТУ 14-1-3564, ГОСТ 2590 АТП, ТО, узк, 3гп")</f>
        <v>ТУ 14-1-3564, ГОСТ 2590 АТП, ТО, узк, 3гп</v>
      </c>
      <c r="G297" s="133">
        <f ca="1">IFERROR(__xludf.DUMMYFUNCTION("""COMPUTED_VALUE"""),1.9)</f>
        <v>1.9</v>
      </c>
      <c r="H297" s="133"/>
      <c r="I297" s="134">
        <f ca="1">IFERROR(__xludf.DUMMYFUNCTION("""COMPUTED_VALUE"""),850000)</f>
        <v>850000</v>
      </c>
    </row>
    <row r="298" spans="2:9" x14ac:dyDescent="0.3">
      <c r="B298" s="130" t="str">
        <f ca="1">IFERROR(__xludf.DUMMYFUNCTION("""COMPUTED_VALUE"""),"круг")</f>
        <v>круг</v>
      </c>
      <c r="C298" s="125" t="str">
        <f ca="1">IFERROR(__xludf.DUMMYFUNCTION("""COMPUTED_VALUE"""),"09Х16Н4Б (ЭП56)")</f>
        <v>09Х16Н4Б (ЭП56)</v>
      </c>
      <c r="D298" s="131">
        <f ca="1">IFERROR(__xludf.DUMMYFUNCTION("""COMPUTED_VALUE"""),25)</f>
        <v>25</v>
      </c>
      <c r="E298" s="131"/>
      <c r="F298" s="132" t="str">
        <f ca="1">IFERROR(__xludf.DUMMYFUNCTION("""COMPUTED_VALUE"""),"ТУ 14-1-3564, ГОСТ 2590 АТП, ТО, узк, 3гп")</f>
        <v>ТУ 14-1-3564, ГОСТ 2590 АТП, ТО, узк, 3гп</v>
      </c>
      <c r="G298" s="133">
        <f ca="1">IFERROR(__xludf.DUMMYFUNCTION("""COMPUTED_VALUE"""),0.472)</f>
        <v>0.47199999999999998</v>
      </c>
      <c r="H298" s="133"/>
      <c r="I298" s="134">
        <f ca="1">IFERROR(__xludf.DUMMYFUNCTION("""COMPUTED_VALUE"""),850000)</f>
        <v>850000</v>
      </c>
    </row>
    <row r="299" spans="2:9" x14ac:dyDescent="0.3">
      <c r="B299" s="130" t="str">
        <f ca="1">IFERROR(__xludf.DUMMYFUNCTION("""COMPUTED_VALUE"""),"круг")</f>
        <v>круг</v>
      </c>
      <c r="C299" s="125" t="str">
        <f ca="1">IFERROR(__xludf.DUMMYFUNCTION("""COMPUTED_VALUE"""),"09Х16Н4Б (ЭП56)")</f>
        <v>09Х16Н4Б (ЭП56)</v>
      </c>
      <c r="D299" s="131">
        <f ca="1">IFERROR(__xludf.DUMMYFUNCTION("""COMPUTED_VALUE"""),25)</f>
        <v>25</v>
      </c>
      <c r="E299" s="131"/>
      <c r="F299" s="132" t="str">
        <f ca="1">IFERROR(__xludf.DUMMYFUNCTION("""COMPUTED_VALUE"""),"2590/5949, РТТ 3ГП")</f>
        <v>2590/5949, РТТ 3ГП</v>
      </c>
      <c r="G299" s="133">
        <f ca="1">IFERROR(__xludf.DUMMYFUNCTION("""COMPUTED_VALUE"""),0.5)</f>
        <v>0.5</v>
      </c>
      <c r="H299" s="133"/>
      <c r="I299" s="134">
        <f ca="1">IFERROR(__xludf.DUMMYFUNCTION("""COMPUTED_VALUE"""),750000)</f>
        <v>750000</v>
      </c>
    </row>
    <row r="300" spans="2:9" x14ac:dyDescent="0.3">
      <c r="B300" s="130" t="str">
        <f ca="1">IFERROR(__xludf.DUMMYFUNCTION("""COMPUTED_VALUE"""),"круг")</f>
        <v>круг</v>
      </c>
      <c r="C300" s="125" t="str">
        <f ca="1">IFERROR(__xludf.DUMMYFUNCTION("""COMPUTED_VALUE"""),"09Х16Н4Б (ЭП56)")</f>
        <v>09Х16Н4Б (ЭП56)</v>
      </c>
      <c r="D300" s="131">
        <f ca="1">IFERROR(__xludf.DUMMYFUNCTION("""COMPUTED_VALUE"""),26)</f>
        <v>26</v>
      </c>
      <c r="E300" s="131"/>
      <c r="F300" s="132" t="str">
        <f ca="1">IFERROR(__xludf.DUMMYFUNCTION("""COMPUTED_VALUE"""),"2590/14-1-3564 РТТ, 3ГП")</f>
        <v>2590/14-1-3564 РТТ, 3ГП</v>
      </c>
      <c r="G300" s="133">
        <f ca="1">IFERROR(__xludf.DUMMYFUNCTION("""COMPUTED_VALUE"""),1.5)</f>
        <v>1.5</v>
      </c>
      <c r="H300" s="133"/>
      <c r="I300" s="134">
        <f ca="1">IFERROR(__xludf.DUMMYFUNCTION("""COMPUTED_VALUE"""),750000)</f>
        <v>750000</v>
      </c>
    </row>
    <row r="301" spans="2:9" x14ac:dyDescent="0.3">
      <c r="B301" s="130" t="str">
        <f ca="1">IFERROR(__xludf.DUMMYFUNCTION("""COMPUTED_VALUE"""),"круг")</f>
        <v>круг</v>
      </c>
      <c r="C301" s="125" t="str">
        <f ca="1">IFERROR(__xludf.DUMMYFUNCTION("""COMPUTED_VALUE"""),"09Х16Н4Б (ЭП56)")</f>
        <v>09Х16Н4Б (ЭП56)</v>
      </c>
      <c r="D301" s="131">
        <f ca="1">IFERROR(__xludf.DUMMYFUNCTION("""COMPUTED_VALUE"""),28)</f>
        <v>28</v>
      </c>
      <c r="E301" s="131"/>
      <c r="F301" s="132" t="str">
        <f ca="1">IFERROR(__xludf.DUMMYFUNCTION("""COMPUTED_VALUE"""),"2590/14-1-3564 РТТ, 3ГП")</f>
        <v>2590/14-1-3564 РТТ, 3ГП</v>
      </c>
      <c r="G301" s="133">
        <f ca="1">IFERROR(__xludf.DUMMYFUNCTION("""COMPUTED_VALUE"""),1.5)</f>
        <v>1.5</v>
      </c>
      <c r="H301" s="133"/>
      <c r="I301" s="134">
        <f ca="1">IFERROR(__xludf.DUMMYFUNCTION("""COMPUTED_VALUE"""),680000)</f>
        <v>680000</v>
      </c>
    </row>
    <row r="302" spans="2:9" x14ac:dyDescent="0.3">
      <c r="B302" s="130" t="str">
        <f ca="1">IFERROR(__xludf.DUMMYFUNCTION("""COMPUTED_VALUE"""),"круг")</f>
        <v>круг</v>
      </c>
      <c r="C302" s="125" t="str">
        <f ca="1">IFERROR(__xludf.DUMMYFUNCTION("""COMPUTED_VALUE"""),"09Х16Н4Б (ЭП56)")</f>
        <v>09Х16Н4Б (ЭП56)</v>
      </c>
      <c r="D302" s="131">
        <f ca="1">IFERROR(__xludf.DUMMYFUNCTION("""COMPUTED_VALUE"""),30)</f>
        <v>30</v>
      </c>
      <c r="E302" s="131"/>
      <c r="F302" s="132" t="str">
        <f ca="1">IFERROR(__xludf.DUMMYFUNCTION("""COMPUTED_VALUE"""),"2590/14-1-3564 РТТ, 3ГП")</f>
        <v>2590/14-1-3564 РТТ, 3ГП</v>
      </c>
      <c r="G302" s="133">
        <f ca="1">IFERROR(__xludf.DUMMYFUNCTION("""COMPUTED_VALUE"""),2)</f>
        <v>2</v>
      </c>
      <c r="H302" s="133"/>
      <c r="I302" s="134">
        <f ca="1">IFERROR(__xludf.DUMMYFUNCTION("""COMPUTED_VALUE"""),680000)</f>
        <v>680000</v>
      </c>
    </row>
    <row r="303" spans="2:9" x14ac:dyDescent="0.3">
      <c r="B303" s="130" t="str">
        <f ca="1">IFERROR(__xludf.DUMMYFUNCTION("""COMPUTED_VALUE"""),"круг")</f>
        <v>круг</v>
      </c>
      <c r="C303" s="125" t="str">
        <f ca="1">IFERROR(__xludf.DUMMYFUNCTION("""COMPUTED_VALUE"""),"09Х16Н4Б (ЭП56)")</f>
        <v>09Х16Н4Б (ЭП56)</v>
      </c>
      <c r="D303" s="131">
        <f ca="1">IFERROR(__xludf.DUMMYFUNCTION("""COMPUTED_VALUE"""),30)</f>
        <v>30</v>
      </c>
      <c r="E303" s="131"/>
      <c r="F303" s="132" t="str">
        <f ca="1">IFERROR(__xludf.DUMMYFUNCTION("""COMPUTED_VALUE"""),"ту14-1-3564, РТТ, УЗК,2ГП, ")</f>
        <v xml:space="preserve">ту14-1-3564, РТТ, УЗК,2ГП, </v>
      </c>
      <c r="G303" s="133">
        <f ca="1">IFERROR(__xludf.DUMMYFUNCTION("""COMPUTED_VALUE"""),0.816)</f>
        <v>0.81599999999999995</v>
      </c>
      <c r="H303" s="133"/>
      <c r="I303" s="134">
        <f ca="1">IFERROR(__xludf.DUMMYFUNCTION("""COMPUTED_VALUE"""),680000)</f>
        <v>680000</v>
      </c>
    </row>
    <row r="304" spans="2:9" x14ac:dyDescent="0.3">
      <c r="B304" s="130" t="str">
        <f ca="1">IFERROR(__xludf.DUMMYFUNCTION("""COMPUTED_VALUE"""),"круг")</f>
        <v>круг</v>
      </c>
      <c r="C304" s="125" t="str">
        <f ca="1">IFERROR(__xludf.DUMMYFUNCTION("""COMPUTED_VALUE"""),"09Х16Н4Б (ЭП56)")</f>
        <v>09Х16Н4Б (ЭП56)</v>
      </c>
      <c r="D304" s="131">
        <f ca="1">IFERROR(__xludf.DUMMYFUNCTION("""COMPUTED_VALUE"""),32)</f>
        <v>32</v>
      </c>
      <c r="E304" s="131"/>
      <c r="F304" s="132" t="str">
        <f ca="1">IFERROR(__xludf.DUMMYFUNCTION("""COMPUTED_VALUE"""),"2590/14-1-3564 РТТ, 3ГП")</f>
        <v>2590/14-1-3564 РТТ, 3ГП</v>
      </c>
      <c r="G304" s="133">
        <f ca="1">IFERROR(__xludf.DUMMYFUNCTION("""COMPUTED_VALUE"""),1.5)</f>
        <v>1.5</v>
      </c>
      <c r="H304" s="133"/>
      <c r="I304" s="134">
        <f ca="1">IFERROR(__xludf.DUMMYFUNCTION("""COMPUTED_VALUE"""),680000)</f>
        <v>680000</v>
      </c>
    </row>
    <row r="305" spans="2:9" x14ac:dyDescent="0.3">
      <c r="B305" s="130" t="str">
        <f ca="1">IFERROR(__xludf.DUMMYFUNCTION("""COMPUTED_VALUE"""),"круг")</f>
        <v>круг</v>
      </c>
      <c r="C305" s="125" t="str">
        <f ca="1">IFERROR(__xludf.DUMMYFUNCTION("""COMPUTED_VALUE"""),"09Х16Н4Б (ЭП56)")</f>
        <v>09Х16Н4Б (ЭП56)</v>
      </c>
      <c r="D305" s="131">
        <f ca="1">IFERROR(__xludf.DUMMYFUNCTION("""COMPUTED_VALUE"""),32)</f>
        <v>32</v>
      </c>
      <c r="E305" s="131"/>
      <c r="F305" s="132" t="str">
        <f ca="1">IFERROR(__xludf.DUMMYFUNCTION("""COMPUTED_VALUE"""),"ту14-1-3564, РТТ, УЗК,2ГП, ")</f>
        <v xml:space="preserve">ту14-1-3564, РТТ, УЗК,2ГП, </v>
      </c>
      <c r="G305" s="133">
        <f ca="1">IFERROR(__xludf.DUMMYFUNCTION("""COMPUTED_VALUE"""),1.71)</f>
        <v>1.71</v>
      </c>
      <c r="H305" s="133"/>
      <c r="I305" s="134">
        <f ca="1">IFERROR(__xludf.DUMMYFUNCTION("""COMPUTED_VALUE"""),680000)</f>
        <v>680000</v>
      </c>
    </row>
    <row r="306" spans="2:9" x14ac:dyDescent="0.3">
      <c r="B306" s="130" t="str">
        <f ca="1">IFERROR(__xludf.DUMMYFUNCTION("""COMPUTED_VALUE"""),"круг")</f>
        <v>круг</v>
      </c>
      <c r="C306" s="125" t="str">
        <f ca="1">IFERROR(__xludf.DUMMYFUNCTION("""COMPUTED_VALUE"""),"09Х16Н4Б (ЭП56)")</f>
        <v>09Х16Н4Б (ЭП56)</v>
      </c>
      <c r="D306" s="131">
        <f ca="1">IFERROR(__xludf.DUMMYFUNCTION("""COMPUTED_VALUE"""),35)</f>
        <v>35</v>
      </c>
      <c r="E306" s="131"/>
      <c r="F306" s="132" t="str">
        <f ca="1">IFERROR(__xludf.DUMMYFUNCTION("""COMPUTED_VALUE"""),"ту14-1-3564, РТТ, УЗК,2ГП, ")</f>
        <v xml:space="preserve">ту14-1-3564, РТТ, УЗК,2ГП, </v>
      </c>
      <c r="G306" s="133">
        <f ca="1">IFERROR(__xludf.DUMMYFUNCTION("""COMPUTED_VALUE"""),2.11)</f>
        <v>2.11</v>
      </c>
      <c r="H306" s="133"/>
      <c r="I306" s="134">
        <f ca="1">IFERROR(__xludf.DUMMYFUNCTION("""COMPUTED_VALUE"""),680000)</f>
        <v>680000</v>
      </c>
    </row>
    <row r="307" spans="2:9" x14ac:dyDescent="0.3">
      <c r="B307" s="130" t="str">
        <f ca="1">IFERROR(__xludf.DUMMYFUNCTION("""COMPUTED_VALUE"""),"круг")</f>
        <v>круг</v>
      </c>
      <c r="C307" s="125" t="str">
        <f ca="1">IFERROR(__xludf.DUMMYFUNCTION("""COMPUTED_VALUE"""),"09Х16Н4Б (ЭП56)")</f>
        <v>09Х16Н4Б (ЭП56)</v>
      </c>
      <c r="D307" s="131">
        <f ca="1">IFERROR(__xludf.DUMMYFUNCTION("""COMPUTED_VALUE"""),38)</f>
        <v>38</v>
      </c>
      <c r="E307" s="131"/>
      <c r="F307" s="132" t="str">
        <f ca="1">IFERROR(__xludf.DUMMYFUNCTION("""COMPUTED_VALUE"""),"2590/14-1-3564 РТТ, 3ГП")</f>
        <v>2590/14-1-3564 РТТ, 3ГП</v>
      </c>
      <c r="G307" s="133">
        <f ca="1">IFERROR(__xludf.DUMMYFUNCTION("""COMPUTED_VALUE"""),1)</f>
        <v>1</v>
      </c>
      <c r="H307" s="133"/>
      <c r="I307" s="134">
        <f ca="1">IFERROR(__xludf.DUMMYFUNCTION("""COMPUTED_VALUE"""),680000)</f>
        <v>680000</v>
      </c>
    </row>
    <row r="308" spans="2:9" x14ac:dyDescent="0.3">
      <c r="B308" s="130" t="str">
        <f ca="1">IFERROR(__xludf.DUMMYFUNCTION("""COMPUTED_VALUE"""),"круг")</f>
        <v>круг</v>
      </c>
      <c r="C308" s="125" t="str">
        <f ca="1">IFERROR(__xludf.DUMMYFUNCTION("""COMPUTED_VALUE"""),"09Х16Н4Б (ЭП56)")</f>
        <v>09Х16Н4Б (ЭП56)</v>
      </c>
      <c r="D308" s="131">
        <f ca="1">IFERROR(__xludf.DUMMYFUNCTION("""COMPUTED_VALUE"""),38)</f>
        <v>38</v>
      </c>
      <c r="E308" s="131"/>
      <c r="F308" s="132" t="str">
        <f ca="1">IFERROR(__xludf.DUMMYFUNCTION("""COMPUTED_VALUE"""),"ту14-1-3564, РТТ, УЗК,2ГП, ")</f>
        <v xml:space="preserve">ту14-1-3564, РТТ, УЗК,2ГП, </v>
      </c>
      <c r="G308" s="133">
        <f ca="1">IFERROR(__xludf.DUMMYFUNCTION("""COMPUTED_VALUE"""),2.33)</f>
        <v>2.33</v>
      </c>
      <c r="H308" s="133"/>
      <c r="I308" s="134">
        <f ca="1">IFERROR(__xludf.DUMMYFUNCTION("""COMPUTED_VALUE"""),680000)</f>
        <v>680000</v>
      </c>
    </row>
    <row r="309" spans="2:9" x14ac:dyDescent="0.3">
      <c r="B309" s="130" t="str">
        <f ca="1">IFERROR(__xludf.DUMMYFUNCTION("""COMPUTED_VALUE"""),"круг")</f>
        <v>круг</v>
      </c>
      <c r="C309" s="125" t="str">
        <f ca="1">IFERROR(__xludf.DUMMYFUNCTION("""COMPUTED_VALUE"""),"09Х16Н4Б (ЭП56)")</f>
        <v>09Х16Н4Б (ЭП56)</v>
      </c>
      <c r="D309" s="131">
        <f ca="1">IFERROR(__xludf.DUMMYFUNCTION("""COMPUTED_VALUE"""),40)</f>
        <v>40</v>
      </c>
      <c r="E309" s="131"/>
      <c r="F309" s="132" t="str">
        <f ca="1">IFERROR(__xludf.DUMMYFUNCTION("""COMPUTED_VALUE"""),"ту14-1-3564, РТТ, УЗК,2ГП, ")</f>
        <v xml:space="preserve">ту14-1-3564, РТТ, УЗК,2ГП, </v>
      </c>
      <c r="G309" s="133">
        <f ca="1">IFERROR(__xludf.DUMMYFUNCTION("""COMPUTED_VALUE"""),1.59499999999999)</f>
        <v>1.59499999999999</v>
      </c>
      <c r="H309" s="133"/>
      <c r="I309" s="134">
        <f ca="1">IFERROR(__xludf.DUMMYFUNCTION("""COMPUTED_VALUE"""),680000)</f>
        <v>680000</v>
      </c>
    </row>
    <row r="310" spans="2:9" x14ac:dyDescent="0.3">
      <c r="B310" s="130" t="str">
        <f ca="1">IFERROR(__xludf.DUMMYFUNCTION("""COMPUTED_VALUE"""),"круг")</f>
        <v>круг</v>
      </c>
      <c r="C310" s="125" t="str">
        <f ca="1">IFERROR(__xludf.DUMMYFUNCTION("""COMPUTED_VALUE"""),"09Х16Н4Б (ЭП56)")</f>
        <v>09Х16Н4Б (ЭП56)</v>
      </c>
      <c r="D310" s="131">
        <f ca="1">IFERROR(__xludf.DUMMYFUNCTION("""COMPUTED_VALUE"""),40)</f>
        <v>40</v>
      </c>
      <c r="E310" s="131"/>
      <c r="F310" s="132" t="str">
        <f ca="1">IFERROR(__xludf.DUMMYFUNCTION("""COMPUTED_VALUE"""),"ту14-1-3564, РТТ, УЗК,2ГП, ")</f>
        <v xml:space="preserve">ту14-1-3564, РТТ, УЗК,2ГП, </v>
      </c>
      <c r="G310" s="133">
        <f ca="1">IFERROR(__xludf.DUMMYFUNCTION("""COMPUTED_VALUE"""),0.229)</f>
        <v>0.22900000000000001</v>
      </c>
      <c r="H310" s="133"/>
      <c r="I310" s="134">
        <f ca="1">IFERROR(__xludf.DUMMYFUNCTION("""COMPUTED_VALUE"""),680000)</f>
        <v>680000</v>
      </c>
    </row>
    <row r="311" spans="2:9" x14ac:dyDescent="0.3">
      <c r="B311" s="130" t="str">
        <f ca="1">IFERROR(__xludf.DUMMYFUNCTION("""COMPUTED_VALUE"""),"круг")</f>
        <v>круг</v>
      </c>
      <c r="C311" s="125" t="str">
        <f ca="1">IFERROR(__xludf.DUMMYFUNCTION("""COMPUTED_VALUE"""),"09Х16Н4Б (ЭП56)")</f>
        <v>09Х16Н4Б (ЭП56)</v>
      </c>
      <c r="D311" s="131">
        <f ca="1">IFERROR(__xludf.DUMMYFUNCTION("""COMPUTED_VALUE"""),40)</f>
        <v>40</v>
      </c>
      <c r="E311" s="131"/>
      <c r="F311" s="132" t="str">
        <f ca="1">IFERROR(__xludf.DUMMYFUNCTION("""COMPUTED_VALUE"""),"ту14-1-3564, РТТ, УЗК,2ГП, ")</f>
        <v xml:space="preserve">ту14-1-3564, РТТ, УЗК,2ГП, </v>
      </c>
      <c r="G311" s="133">
        <f ca="1">IFERROR(__xludf.DUMMYFUNCTION("""COMPUTED_VALUE"""),0.33)</f>
        <v>0.33</v>
      </c>
      <c r="H311" s="133"/>
      <c r="I311" s="134">
        <f ca="1">IFERROR(__xludf.DUMMYFUNCTION("""COMPUTED_VALUE"""),680000)</f>
        <v>680000</v>
      </c>
    </row>
    <row r="312" spans="2:9" x14ac:dyDescent="0.3">
      <c r="B312" s="130" t="str">
        <f ca="1">IFERROR(__xludf.DUMMYFUNCTION("""COMPUTED_VALUE"""),"круг")</f>
        <v>круг</v>
      </c>
      <c r="C312" s="125" t="str">
        <f ca="1">IFERROR(__xludf.DUMMYFUNCTION("""COMPUTED_VALUE"""),"09Х16Н4Б (ЭП56)")</f>
        <v>09Х16Н4Б (ЭП56)</v>
      </c>
      <c r="D312" s="131">
        <f ca="1">IFERROR(__xludf.DUMMYFUNCTION("""COMPUTED_VALUE"""),40)</f>
        <v>40</v>
      </c>
      <c r="E312" s="131"/>
      <c r="F312" s="132" t="str">
        <f ca="1">IFERROR(__xludf.DUMMYFUNCTION("""COMPUTED_VALUE"""),"ту14-1-3564, РТТ, УЗК,2ГП, ")</f>
        <v xml:space="preserve">ту14-1-3564, РТТ, УЗК,2ГП, </v>
      </c>
      <c r="G312" s="133">
        <f ca="1">IFERROR(__xludf.DUMMYFUNCTION("""COMPUTED_VALUE"""),0.38)</f>
        <v>0.38</v>
      </c>
      <c r="H312" s="133"/>
      <c r="I312" s="134">
        <f ca="1">IFERROR(__xludf.DUMMYFUNCTION("""COMPUTED_VALUE"""),680000)</f>
        <v>680000</v>
      </c>
    </row>
    <row r="313" spans="2:9" x14ac:dyDescent="0.3">
      <c r="B313" s="130" t="str">
        <f ca="1">IFERROR(__xludf.DUMMYFUNCTION("""COMPUTED_VALUE"""),"круг")</f>
        <v>круг</v>
      </c>
      <c r="C313" s="125" t="str">
        <f ca="1">IFERROR(__xludf.DUMMYFUNCTION("""COMPUTED_VALUE"""),"09Х16Н4Б (ЭП56)")</f>
        <v>09Х16Н4Б (ЭП56)</v>
      </c>
      <c r="D313" s="131">
        <f ca="1">IFERROR(__xludf.DUMMYFUNCTION("""COMPUTED_VALUE"""),40)</f>
        <v>40</v>
      </c>
      <c r="E313" s="131"/>
      <c r="F313" s="132" t="str">
        <f ca="1">IFERROR(__xludf.DUMMYFUNCTION("""COMPUTED_VALUE"""),"ту14-1-3564, РТТ, УЗК,2ГП, ")</f>
        <v xml:space="preserve">ту14-1-3564, РТТ, УЗК,2ГП, </v>
      </c>
      <c r="G313" s="133">
        <f ca="1">IFERROR(__xludf.DUMMYFUNCTION("""COMPUTED_VALUE"""),2.76)</f>
        <v>2.76</v>
      </c>
      <c r="H313" s="133"/>
      <c r="I313" s="134">
        <f ca="1">IFERROR(__xludf.DUMMYFUNCTION("""COMPUTED_VALUE"""),680000)</f>
        <v>680000</v>
      </c>
    </row>
    <row r="314" spans="2:9" x14ac:dyDescent="0.3">
      <c r="B314" s="130" t="str">
        <f ca="1">IFERROR(__xludf.DUMMYFUNCTION("""COMPUTED_VALUE"""),"круг")</f>
        <v>круг</v>
      </c>
      <c r="C314" s="125" t="str">
        <f ca="1">IFERROR(__xludf.DUMMYFUNCTION("""COMPUTED_VALUE"""),"09Х16Н4Б (ЭП56)")</f>
        <v>09Х16Н4Б (ЭП56)</v>
      </c>
      <c r="D314" s="131">
        <f ca="1">IFERROR(__xludf.DUMMYFUNCTION("""COMPUTED_VALUE"""),40)</f>
        <v>40</v>
      </c>
      <c r="E314" s="131"/>
      <c r="F314" s="132" t="str">
        <f ca="1">IFERROR(__xludf.DUMMYFUNCTION("""COMPUTED_VALUE"""),"ту14-1-3564, РТТ, УЗК,2ГП, ")</f>
        <v xml:space="preserve">ту14-1-3564, РТТ, УЗК,2ГП, </v>
      </c>
      <c r="G314" s="133">
        <f ca="1">IFERROR(__xludf.DUMMYFUNCTION("""COMPUTED_VALUE"""),3.16)</f>
        <v>3.16</v>
      </c>
      <c r="H314" s="133"/>
      <c r="I314" s="134">
        <f ca="1">IFERROR(__xludf.DUMMYFUNCTION("""COMPUTED_VALUE"""),680000)</f>
        <v>680000</v>
      </c>
    </row>
    <row r="315" spans="2:9" x14ac:dyDescent="0.3">
      <c r="B315" s="130" t="str">
        <f ca="1">IFERROR(__xludf.DUMMYFUNCTION("""COMPUTED_VALUE"""),"круг")</f>
        <v>круг</v>
      </c>
      <c r="C315" s="125" t="str">
        <f ca="1">IFERROR(__xludf.DUMMYFUNCTION("""COMPUTED_VALUE"""),"09Х16Н4Б (ЭП56)")</f>
        <v>09Х16Н4Б (ЭП56)</v>
      </c>
      <c r="D315" s="131">
        <f ca="1">IFERROR(__xludf.DUMMYFUNCTION("""COMPUTED_VALUE"""),40)</f>
        <v>40</v>
      </c>
      <c r="E315" s="131"/>
      <c r="F315" s="132" t="str">
        <f ca="1">IFERROR(__xludf.DUMMYFUNCTION("""COMPUTED_VALUE"""),"ту14-1-3564, РТТ, УЗК,2ГП, ")</f>
        <v xml:space="preserve">ту14-1-3564, РТТ, УЗК,2ГП, </v>
      </c>
      <c r="G315" s="133">
        <f ca="1">IFERROR(__xludf.DUMMYFUNCTION("""COMPUTED_VALUE"""),3.17)</f>
        <v>3.17</v>
      </c>
      <c r="H315" s="133"/>
      <c r="I315" s="134">
        <f ca="1">IFERROR(__xludf.DUMMYFUNCTION("""COMPUTED_VALUE"""),680000)</f>
        <v>680000</v>
      </c>
    </row>
    <row r="316" spans="2:9" x14ac:dyDescent="0.3">
      <c r="B316" s="130" t="str">
        <f ca="1">IFERROR(__xludf.DUMMYFUNCTION("""COMPUTED_VALUE"""),"круг")</f>
        <v>круг</v>
      </c>
      <c r="C316" s="125" t="str">
        <f ca="1">IFERROR(__xludf.DUMMYFUNCTION("""COMPUTED_VALUE"""),"09Х16Н4Б (ЭП56)")</f>
        <v>09Х16Н4Б (ЭП56)</v>
      </c>
      <c r="D316" s="131">
        <f ca="1">IFERROR(__xludf.DUMMYFUNCTION("""COMPUTED_VALUE"""),40)</f>
        <v>40</v>
      </c>
      <c r="E316" s="131"/>
      <c r="F316" s="132" t="str">
        <f ca="1">IFERROR(__xludf.DUMMYFUNCTION("""COMPUTED_VALUE"""),"ту14-1-3564, РТТ, УЗК,2ГП, ")</f>
        <v xml:space="preserve">ту14-1-3564, РТТ, УЗК,2ГП, </v>
      </c>
      <c r="G316" s="133">
        <f ca="1">IFERROR(__xludf.DUMMYFUNCTION("""COMPUTED_VALUE"""),5.24)</f>
        <v>5.24</v>
      </c>
      <c r="H316" s="133"/>
      <c r="I316" s="134">
        <f ca="1">IFERROR(__xludf.DUMMYFUNCTION("""COMPUTED_VALUE"""),680000)</f>
        <v>680000</v>
      </c>
    </row>
    <row r="317" spans="2:9" x14ac:dyDescent="0.3">
      <c r="B317" s="130" t="str">
        <f ca="1">IFERROR(__xludf.DUMMYFUNCTION("""COMPUTED_VALUE"""),"круг")</f>
        <v>круг</v>
      </c>
      <c r="C317" s="125" t="str">
        <f ca="1">IFERROR(__xludf.DUMMYFUNCTION("""COMPUTED_VALUE"""),"09Х16Н4Б (ЭП56)")</f>
        <v>09Х16Н4Б (ЭП56)</v>
      </c>
      <c r="D317" s="131">
        <f ca="1">IFERROR(__xludf.DUMMYFUNCTION("""COMPUTED_VALUE"""),40)</f>
        <v>40</v>
      </c>
      <c r="E317" s="131"/>
      <c r="F317" s="132" t="str">
        <f ca="1">IFERROR(__xludf.DUMMYFUNCTION("""COMPUTED_VALUE"""),"2590/14-1-3564 РТТ, 3ГП")</f>
        <v>2590/14-1-3564 РТТ, 3ГП</v>
      </c>
      <c r="G317" s="133">
        <f ca="1">IFERROR(__xludf.DUMMYFUNCTION("""COMPUTED_VALUE"""),1.5)</f>
        <v>1.5</v>
      </c>
      <c r="H317" s="133"/>
      <c r="I317" s="134">
        <f ca="1">IFERROR(__xludf.DUMMYFUNCTION("""COMPUTED_VALUE"""),680000)</f>
        <v>680000</v>
      </c>
    </row>
    <row r="318" spans="2:9" x14ac:dyDescent="0.3">
      <c r="B318" s="130" t="str">
        <f ca="1">IFERROR(__xludf.DUMMYFUNCTION("""COMPUTED_VALUE"""),"круг")</f>
        <v>круг</v>
      </c>
      <c r="C318" s="125" t="str">
        <f ca="1">IFERROR(__xludf.DUMMYFUNCTION("""COMPUTED_VALUE"""),"09Х16Н4Б (ЭП56)")</f>
        <v>09Х16Н4Б (ЭП56)</v>
      </c>
      <c r="D318" s="131">
        <f ca="1">IFERROR(__xludf.DUMMYFUNCTION("""COMPUTED_VALUE"""),42)</f>
        <v>42</v>
      </c>
      <c r="E318" s="131"/>
      <c r="F318" s="132" t="str">
        <f ca="1">IFERROR(__xludf.DUMMYFUNCTION("""COMPUTED_VALUE"""),"2590/14-1-3564 РТТ, 3ГП")</f>
        <v>2590/14-1-3564 РТТ, 3ГП</v>
      </c>
      <c r="G318" s="133">
        <f ca="1">IFERROR(__xludf.DUMMYFUNCTION("""COMPUTED_VALUE"""),2)</f>
        <v>2</v>
      </c>
      <c r="H318" s="133"/>
      <c r="I318" s="134">
        <f ca="1">IFERROR(__xludf.DUMMYFUNCTION("""COMPUTED_VALUE"""),680000)</f>
        <v>680000</v>
      </c>
    </row>
    <row r="319" spans="2:9" x14ac:dyDescent="0.3">
      <c r="B319" s="130" t="str">
        <f ca="1">IFERROR(__xludf.DUMMYFUNCTION("""COMPUTED_VALUE"""),"круг")</f>
        <v>круг</v>
      </c>
      <c r="C319" s="125" t="str">
        <f ca="1">IFERROR(__xludf.DUMMYFUNCTION("""COMPUTED_VALUE"""),"09Х16Н4Б (ЭП56)")</f>
        <v>09Х16Н4Б (ЭП56)</v>
      </c>
      <c r="D319" s="131">
        <f ca="1">IFERROR(__xludf.DUMMYFUNCTION("""COMPUTED_VALUE"""),45)</f>
        <v>45</v>
      </c>
      <c r="E319" s="131"/>
      <c r="F319" s="132" t="str">
        <f ca="1">IFERROR(__xludf.DUMMYFUNCTION("""COMPUTED_VALUE"""),"ту14-1-3564, РТТ, УЗК,2ГП, ")</f>
        <v xml:space="preserve">ту14-1-3564, РТТ, УЗК,2ГП, </v>
      </c>
      <c r="G319" s="133">
        <f ca="1">IFERROR(__xludf.DUMMYFUNCTION("""COMPUTED_VALUE"""),0.679999999999999)</f>
        <v>0.67999999999999905</v>
      </c>
      <c r="H319" s="133"/>
      <c r="I319" s="134">
        <f ca="1">IFERROR(__xludf.DUMMYFUNCTION("""COMPUTED_VALUE"""),680000)</f>
        <v>680000</v>
      </c>
    </row>
    <row r="320" spans="2:9" x14ac:dyDescent="0.3">
      <c r="B320" s="130" t="str">
        <f ca="1">IFERROR(__xludf.DUMMYFUNCTION("""COMPUTED_VALUE"""),"круг")</f>
        <v>круг</v>
      </c>
      <c r="C320" s="125" t="str">
        <f ca="1">IFERROR(__xludf.DUMMYFUNCTION("""COMPUTED_VALUE"""),"09Х16Н4Б (ЭП56)")</f>
        <v>09Х16Н4Б (ЭП56)</v>
      </c>
      <c r="D320" s="131">
        <f ca="1">IFERROR(__xludf.DUMMYFUNCTION("""COMPUTED_VALUE"""),45)</f>
        <v>45</v>
      </c>
      <c r="E320" s="131"/>
      <c r="F320" s="132" t="str">
        <f ca="1">IFERROR(__xludf.DUMMYFUNCTION("""COMPUTED_VALUE"""),"ту14-1-3564, РТТ, УЗК,2ГП, ")</f>
        <v xml:space="preserve">ту14-1-3564, РТТ, УЗК,2ГП, </v>
      </c>
      <c r="G320" s="133">
        <f ca="1">IFERROR(__xludf.DUMMYFUNCTION("""COMPUTED_VALUE"""),1.78)</f>
        <v>1.78</v>
      </c>
      <c r="H320" s="133"/>
      <c r="I320" s="134">
        <f ca="1">IFERROR(__xludf.DUMMYFUNCTION("""COMPUTED_VALUE"""),680000)</f>
        <v>680000</v>
      </c>
    </row>
    <row r="321" spans="2:9" x14ac:dyDescent="0.3">
      <c r="B321" s="130" t="str">
        <f ca="1">IFERROR(__xludf.DUMMYFUNCTION("""COMPUTED_VALUE"""),"круг")</f>
        <v>круг</v>
      </c>
      <c r="C321" s="125" t="str">
        <f ca="1">IFERROR(__xludf.DUMMYFUNCTION("""COMPUTED_VALUE"""),"09Х16Н4Б (ЭП56)")</f>
        <v>09Х16Н4Б (ЭП56)</v>
      </c>
      <c r="D321" s="131">
        <f ca="1">IFERROR(__xludf.DUMMYFUNCTION("""COMPUTED_VALUE"""),45)</f>
        <v>45</v>
      </c>
      <c r="E321" s="131"/>
      <c r="F321" s="132" t="str">
        <f ca="1">IFERROR(__xludf.DUMMYFUNCTION("""COMPUTED_VALUE"""),"ту14-1-3564, РТТ, УЗК,2ГП, ")</f>
        <v xml:space="preserve">ту14-1-3564, РТТ, УЗК,2ГП, </v>
      </c>
      <c r="G321" s="133">
        <f ca="1">IFERROR(__xludf.DUMMYFUNCTION("""COMPUTED_VALUE"""),2.68)</f>
        <v>2.68</v>
      </c>
      <c r="H321" s="133"/>
      <c r="I321" s="134">
        <f ca="1">IFERROR(__xludf.DUMMYFUNCTION("""COMPUTED_VALUE"""),680000)</f>
        <v>680000</v>
      </c>
    </row>
    <row r="322" spans="2:9" x14ac:dyDescent="0.3">
      <c r="B322" s="130" t="str">
        <f ca="1">IFERROR(__xludf.DUMMYFUNCTION("""COMPUTED_VALUE"""),"круг")</f>
        <v>круг</v>
      </c>
      <c r="C322" s="125" t="str">
        <f ca="1">IFERROR(__xludf.DUMMYFUNCTION("""COMPUTED_VALUE"""),"09Х16Н4Б (ЭП56)")</f>
        <v>09Х16Н4Б (ЭП56)</v>
      </c>
      <c r="D322" s="131">
        <f ca="1">IFERROR(__xludf.DUMMYFUNCTION("""COMPUTED_VALUE"""),45)</f>
        <v>45</v>
      </c>
      <c r="E322" s="131"/>
      <c r="F322" s="132" t="str">
        <f ca="1">IFERROR(__xludf.DUMMYFUNCTION("""COMPUTED_VALUE"""),"ту14-1-3564, РТТ, УЗК,2ГП, ")</f>
        <v xml:space="preserve">ту14-1-3564, РТТ, УЗК,2ГП, </v>
      </c>
      <c r="G322" s="133">
        <f ca="1">IFERROR(__xludf.DUMMYFUNCTION("""COMPUTED_VALUE"""),2.7)</f>
        <v>2.7</v>
      </c>
      <c r="H322" s="133"/>
      <c r="I322" s="134">
        <f ca="1">IFERROR(__xludf.DUMMYFUNCTION("""COMPUTED_VALUE"""),680000)</f>
        <v>680000</v>
      </c>
    </row>
    <row r="323" spans="2:9" x14ac:dyDescent="0.3">
      <c r="B323" s="130" t="str">
        <f ca="1">IFERROR(__xludf.DUMMYFUNCTION("""COMPUTED_VALUE"""),"круг")</f>
        <v>круг</v>
      </c>
      <c r="C323" s="125" t="str">
        <f ca="1">IFERROR(__xludf.DUMMYFUNCTION("""COMPUTED_VALUE"""),"09Х16Н4Б (ЭП56)")</f>
        <v>09Х16Н4Б (ЭП56)</v>
      </c>
      <c r="D323" s="131">
        <f ca="1">IFERROR(__xludf.DUMMYFUNCTION("""COMPUTED_VALUE"""),45)</f>
        <v>45</v>
      </c>
      <c r="E323" s="131"/>
      <c r="F323" s="132" t="str">
        <f ca="1">IFERROR(__xludf.DUMMYFUNCTION("""COMPUTED_VALUE"""),"ту14-1-3564, РТТ, УЗК,2ГП, ")</f>
        <v xml:space="preserve">ту14-1-3564, РТТ, УЗК,2ГП, </v>
      </c>
      <c r="G323" s="133">
        <f ca="1">IFERROR(__xludf.DUMMYFUNCTION("""COMPUTED_VALUE"""),2.84)</f>
        <v>2.84</v>
      </c>
      <c r="H323" s="133"/>
      <c r="I323" s="134">
        <f ca="1">IFERROR(__xludf.DUMMYFUNCTION("""COMPUTED_VALUE"""),680000)</f>
        <v>680000</v>
      </c>
    </row>
    <row r="324" spans="2:9" x14ac:dyDescent="0.3">
      <c r="B324" s="130" t="str">
        <f ca="1">IFERROR(__xludf.DUMMYFUNCTION("""COMPUTED_VALUE"""),"круг")</f>
        <v>круг</v>
      </c>
      <c r="C324" s="125" t="str">
        <f ca="1">IFERROR(__xludf.DUMMYFUNCTION("""COMPUTED_VALUE"""),"09Х16Н4Б (ЭП56)")</f>
        <v>09Х16Н4Б (ЭП56)</v>
      </c>
      <c r="D324" s="131">
        <f ca="1">IFERROR(__xludf.DUMMYFUNCTION("""COMPUTED_VALUE"""),48)</f>
        <v>48</v>
      </c>
      <c r="E324" s="131"/>
      <c r="F324" s="132" t="str">
        <f ca="1">IFERROR(__xludf.DUMMYFUNCTION("""COMPUTED_VALUE"""),"2590/14-1-3564 РТТ, 3ГП")</f>
        <v>2590/14-1-3564 РТТ, 3ГП</v>
      </c>
      <c r="G324" s="133">
        <f ca="1">IFERROR(__xludf.DUMMYFUNCTION("""COMPUTED_VALUE"""),10)</f>
        <v>10</v>
      </c>
      <c r="H324" s="133"/>
      <c r="I324" s="134">
        <f ca="1">IFERROR(__xludf.DUMMYFUNCTION("""COMPUTED_VALUE"""),680000)</f>
        <v>680000</v>
      </c>
    </row>
    <row r="325" spans="2:9" x14ac:dyDescent="0.3">
      <c r="B325" s="130" t="str">
        <f ca="1">IFERROR(__xludf.DUMMYFUNCTION("""COMPUTED_VALUE"""),"круг")</f>
        <v>круг</v>
      </c>
      <c r="C325" s="125" t="str">
        <f ca="1">IFERROR(__xludf.DUMMYFUNCTION("""COMPUTED_VALUE"""),"09Х16Н4Б (ЭП56)")</f>
        <v>09Х16Н4Б (ЭП56)</v>
      </c>
      <c r="D325" s="131">
        <f ca="1">IFERROR(__xludf.DUMMYFUNCTION("""COMPUTED_VALUE"""),50)</f>
        <v>50</v>
      </c>
      <c r="E325" s="131"/>
      <c r="F325" s="132" t="str">
        <f ca="1">IFERROR(__xludf.DUMMYFUNCTION("""COMPUTED_VALUE"""),"ту14-1-3564, РТТ, УЗК,2ГП, ")</f>
        <v xml:space="preserve">ту14-1-3564, РТТ, УЗК,2ГП, </v>
      </c>
      <c r="G325" s="133">
        <f ca="1">IFERROR(__xludf.DUMMYFUNCTION("""COMPUTED_VALUE"""),1.04)</f>
        <v>1.04</v>
      </c>
      <c r="H325" s="133"/>
      <c r="I325" s="134">
        <f ca="1">IFERROR(__xludf.DUMMYFUNCTION("""COMPUTED_VALUE"""),680000)</f>
        <v>680000</v>
      </c>
    </row>
    <row r="326" spans="2:9" x14ac:dyDescent="0.3">
      <c r="B326" s="130" t="str">
        <f ca="1">IFERROR(__xludf.DUMMYFUNCTION("""COMPUTED_VALUE"""),"круг")</f>
        <v>круг</v>
      </c>
      <c r="C326" s="125" t="str">
        <f ca="1">IFERROR(__xludf.DUMMYFUNCTION("""COMPUTED_VALUE"""),"09Х16Н4Б (ЭП56)")</f>
        <v>09Х16Н4Б (ЭП56)</v>
      </c>
      <c r="D326" s="131">
        <f ca="1">IFERROR(__xludf.DUMMYFUNCTION("""COMPUTED_VALUE"""),50)</f>
        <v>50</v>
      </c>
      <c r="E326" s="131"/>
      <c r="F326" s="132" t="str">
        <f ca="1">IFERROR(__xludf.DUMMYFUNCTION("""COMPUTED_VALUE"""),"ту14-1-3564, РТТ, УЗК,2ГП, ")</f>
        <v xml:space="preserve">ту14-1-3564, РТТ, УЗК,2ГП, </v>
      </c>
      <c r="G326" s="133">
        <f ca="1">IFERROR(__xludf.DUMMYFUNCTION("""COMPUTED_VALUE"""),2.462)</f>
        <v>2.4620000000000002</v>
      </c>
      <c r="H326" s="133"/>
      <c r="I326" s="134">
        <f ca="1">IFERROR(__xludf.DUMMYFUNCTION("""COMPUTED_VALUE"""),680000)</f>
        <v>680000</v>
      </c>
    </row>
    <row r="327" spans="2:9" x14ac:dyDescent="0.3">
      <c r="B327" s="130" t="str">
        <f ca="1">IFERROR(__xludf.DUMMYFUNCTION("""COMPUTED_VALUE"""),"круг")</f>
        <v>круг</v>
      </c>
      <c r="C327" s="125" t="str">
        <f ca="1">IFERROR(__xludf.DUMMYFUNCTION("""COMPUTED_VALUE"""),"09Х16Н4Б (ЭП56)")</f>
        <v>09Х16Н4Б (ЭП56)</v>
      </c>
      <c r="D327" s="131">
        <f ca="1">IFERROR(__xludf.DUMMYFUNCTION("""COMPUTED_VALUE"""),50)</f>
        <v>50</v>
      </c>
      <c r="E327" s="131"/>
      <c r="F327" s="132" t="str">
        <f ca="1">IFERROR(__xludf.DUMMYFUNCTION("""COMPUTED_VALUE"""),"ту14-1-3564, РТТ, УЗК,2ГП, ")</f>
        <v xml:space="preserve">ту14-1-3564, РТТ, УЗК,2ГП, </v>
      </c>
      <c r="G327" s="133">
        <f ca="1">IFERROR(__xludf.DUMMYFUNCTION("""COMPUTED_VALUE"""),2.88)</f>
        <v>2.88</v>
      </c>
      <c r="H327" s="133"/>
      <c r="I327" s="134">
        <f ca="1">IFERROR(__xludf.DUMMYFUNCTION("""COMPUTED_VALUE"""),680000)</f>
        <v>680000</v>
      </c>
    </row>
    <row r="328" spans="2:9" x14ac:dyDescent="0.3">
      <c r="B328" s="130" t="str">
        <f ca="1">IFERROR(__xludf.DUMMYFUNCTION("""COMPUTED_VALUE"""),"круг")</f>
        <v>круг</v>
      </c>
      <c r="C328" s="125" t="str">
        <f ca="1">IFERROR(__xludf.DUMMYFUNCTION("""COMPUTED_VALUE"""),"09Х16Н4Б (ЭП56)")</f>
        <v>09Х16Н4Б (ЭП56)</v>
      </c>
      <c r="D328" s="131">
        <f ca="1">IFERROR(__xludf.DUMMYFUNCTION("""COMPUTED_VALUE"""),50)</f>
        <v>50</v>
      </c>
      <c r="E328" s="131"/>
      <c r="F328" s="132" t="str">
        <f ca="1">IFERROR(__xludf.DUMMYFUNCTION("""COMPUTED_VALUE"""),"ту14-1-3564, РТТ, УЗК,2ГП, ")</f>
        <v xml:space="preserve">ту14-1-3564, РТТ, УЗК,2ГП, </v>
      </c>
      <c r="G328" s="133">
        <f ca="1">IFERROR(__xludf.DUMMYFUNCTION("""COMPUTED_VALUE"""),3.58)</f>
        <v>3.58</v>
      </c>
      <c r="H328" s="133"/>
      <c r="I328" s="134">
        <f ca="1">IFERROR(__xludf.DUMMYFUNCTION("""COMPUTED_VALUE"""),680000)</f>
        <v>680000</v>
      </c>
    </row>
    <row r="329" spans="2:9" x14ac:dyDescent="0.3">
      <c r="B329" s="130" t="str">
        <f ca="1">IFERROR(__xludf.DUMMYFUNCTION("""COMPUTED_VALUE"""),"круг")</f>
        <v>круг</v>
      </c>
      <c r="C329" s="125" t="str">
        <f ca="1">IFERROR(__xludf.DUMMYFUNCTION("""COMPUTED_VALUE"""),"09Х16Н4Б (ЭП56)")</f>
        <v>09Х16Н4Б (ЭП56)</v>
      </c>
      <c r="D329" s="131">
        <f ca="1">IFERROR(__xludf.DUMMYFUNCTION("""COMPUTED_VALUE"""),56)</f>
        <v>56</v>
      </c>
      <c r="E329" s="131"/>
      <c r="F329" s="132" t="str">
        <f ca="1">IFERROR(__xludf.DUMMYFUNCTION("""COMPUTED_VALUE"""),"ТУ 14-1-3564, ГОСТ 2590  ТО, узк, 3гп, БЕЗ РТ")</f>
        <v>ТУ 14-1-3564, ГОСТ 2590  ТО, узк, 3гп, БЕЗ РТ</v>
      </c>
      <c r="G329" s="133">
        <f ca="1">IFERROR(__xludf.DUMMYFUNCTION("""COMPUTED_VALUE"""),1.62899999999999)</f>
        <v>1.62899999999999</v>
      </c>
      <c r="H329" s="133"/>
      <c r="I329" s="134">
        <f ca="1">IFERROR(__xludf.DUMMYFUNCTION("""COMPUTED_VALUE"""),750000)</f>
        <v>750000</v>
      </c>
    </row>
    <row r="330" spans="2:9" x14ac:dyDescent="0.3">
      <c r="B330" s="130" t="str">
        <f ca="1">IFERROR(__xludf.DUMMYFUNCTION("""COMPUTED_VALUE"""),"круг")</f>
        <v>круг</v>
      </c>
      <c r="C330" s="125" t="str">
        <f ca="1">IFERROR(__xludf.DUMMYFUNCTION("""COMPUTED_VALUE"""),"09Х16Н4Б (ЭП56)")</f>
        <v>09Х16Н4Б (ЭП56)</v>
      </c>
      <c r="D330" s="131">
        <f ca="1">IFERROR(__xludf.DUMMYFUNCTION("""COMPUTED_VALUE"""),56)</f>
        <v>56</v>
      </c>
      <c r="E330" s="131"/>
      <c r="F330" s="132" t="str">
        <f ca="1">IFERROR(__xludf.DUMMYFUNCTION("""COMPUTED_VALUE"""),"ту14-1-3564, РТТ, УЗК,2ГП, ")</f>
        <v xml:space="preserve">ту14-1-3564, РТТ, УЗК,2ГП, </v>
      </c>
      <c r="G330" s="133">
        <f ca="1">IFERROR(__xludf.DUMMYFUNCTION("""COMPUTED_VALUE"""),0.6)</f>
        <v>0.6</v>
      </c>
      <c r="H330" s="133"/>
      <c r="I330" s="134">
        <f ca="1">IFERROR(__xludf.DUMMYFUNCTION("""COMPUTED_VALUE"""),680000)</f>
        <v>680000</v>
      </c>
    </row>
    <row r="331" spans="2:9" x14ac:dyDescent="0.3">
      <c r="B331" s="130" t="str">
        <f ca="1">IFERROR(__xludf.DUMMYFUNCTION("""COMPUTED_VALUE"""),"круг")</f>
        <v>круг</v>
      </c>
      <c r="C331" s="125" t="str">
        <f ca="1">IFERROR(__xludf.DUMMYFUNCTION("""COMPUTED_VALUE"""),"09Х16Н4Б (ЭП56)")</f>
        <v>09Х16Н4Б (ЭП56)</v>
      </c>
      <c r="D331" s="131">
        <f ca="1">IFERROR(__xludf.DUMMYFUNCTION("""COMPUTED_VALUE"""),60)</f>
        <v>60</v>
      </c>
      <c r="E331" s="131"/>
      <c r="F331" s="132" t="str">
        <f ca="1">IFERROR(__xludf.DUMMYFUNCTION("""COMPUTED_VALUE"""),"2590/14-1-3564 РТТ, 3ГП")</f>
        <v>2590/14-1-3564 РТТ, 3ГП</v>
      </c>
      <c r="G331" s="133">
        <f ca="1">IFERROR(__xludf.DUMMYFUNCTION("""COMPUTED_VALUE"""),3)</f>
        <v>3</v>
      </c>
      <c r="H331" s="133"/>
      <c r="I331" s="134">
        <f ca="1">IFERROR(__xludf.DUMMYFUNCTION("""COMPUTED_VALUE"""),680000)</f>
        <v>680000</v>
      </c>
    </row>
    <row r="332" spans="2:9" x14ac:dyDescent="0.3">
      <c r="B332" s="130" t="str">
        <f ca="1">IFERROR(__xludf.DUMMYFUNCTION("""COMPUTED_VALUE"""),"круг")</f>
        <v>круг</v>
      </c>
      <c r="C332" s="125" t="str">
        <f ca="1">IFERROR(__xludf.DUMMYFUNCTION("""COMPUTED_VALUE"""),"09Х16Н4Б (ЭП56)")</f>
        <v>09Х16Н4Б (ЭП56)</v>
      </c>
      <c r="D332" s="131">
        <f ca="1">IFERROR(__xludf.DUMMYFUNCTION("""COMPUTED_VALUE"""),60)</f>
        <v>60</v>
      </c>
      <c r="E332" s="131"/>
      <c r="F332" s="132" t="str">
        <f ca="1">IFERROR(__xludf.DUMMYFUNCTION("""COMPUTED_VALUE"""),"ту14-1-3564, РТТ, УЗК,2ГП, ")</f>
        <v xml:space="preserve">ту14-1-3564, РТТ, УЗК,2ГП, </v>
      </c>
      <c r="G332" s="133">
        <f ca="1">IFERROR(__xludf.DUMMYFUNCTION("""COMPUTED_VALUE"""),2.167)</f>
        <v>2.1669999999999998</v>
      </c>
      <c r="H332" s="133"/>
      <c r="I332" s="134">
        <f ca="1">IFERROR(__xludf.DUMMYFUNCTION("""COMPUTED_VALUE"""),680000)</f>
        <v>680000</v>
      </c>
    </row>
    <row r="333" spans="2:9" x14ac:dyDescent="0.3">
      <c r="B333" s="130" t="str">
        <f ca="1">IFERROR(__xludf.DUMMYFUNCTION("""COMPUTED_VALUE"""),"круг")</f>
        <v>круг</v>
      </c>
      <c r="C333" s="125" t="str">
        <f ca="1">IFERROR(__xludf.DUMMYFUNCTION("""COMPUTED_VALUE"""),"09Х16Н4Б (ЭП56)")</f>
        <v>09Х16Н4Б (ЭП56)</v>
      </c>
      <c r="D333" s="131">
        <f ca="1">IFERROR(__xludf.DUMMYFUNCTION("""COMPUTED_VALUE"""),70)</f>
        <v>70</v>
      </c>
      <c r="E333" s="131"/>
      <c r="F333" s="132" t="str">
        <f ca="1">IFERROR(__xludf.DUMMYFUNCTION("""COMPUTED_VALUE"""),"2590/14-1-3564 РТТ, 3ГП")</f>
        <v>2590/14-1-3564 РТТ, 3ГП</v>
      </c>
      <c r="G333" s="133">
        <f ca="1">IFERROR(__xludf.DUMMYFUNCTION("""COMPUTED_VALUE"""),3)</f>
        <v>3</v>
      </c>
      <c r="H333" s="133"/>
      <c r="I333" s="134">
        <f ca="1">IFERROR(__xludf.DUMMYFUNCTION("""COMPUTED_VALUE"""),680000)</f>
        <v>680000</v>
      </c>
    </row>
    <row r="334" spans="2:9" x14ac:dyDescent="0.3">
      <c r="B334" s="130" t="str">
        <f ca="1">IFERROR(__xludf.DUMMYFUNCTION("""COMPUTED_VALUE"""),"круг")</f>
        <v>круг</v>
      </c>
      <c r="C334" s="125" t="str">
        <f ca="1">IFERROR(__xludf.DUMMYFUNCTION("""COMPUTED_VALUE"""),"09Х16Н4Б (ЭП56)")</f>
        <v>09Х16Н4Б (ЭП56)</v>
      </c>
      <c r="D334" s="131">
        <f ca="1">IFERROR(__xludf.DUMMYFUNCTION("""COMPUTED_VALUE"""),75)</f>
        <v>75</v>
      </c>
      <c r="E334" s="131"/>
      <c r="F334" s="132" t="str">
        <f ca="1">IFERROR(__xludf.DUMMYFUNCTION("""COMPUTED_VALUE"""),"2590/14-1-3564 РТТ, 3ГП")</f>
        <v>2590/14-1-3564 РТТ, 3ГП</v>
      </c>
      <c r="G334" s="133">
        <f ca="1">IFERROR(__xludf.DUMMYFUNCTION("""COMPUTED_VALUE"""),3)</f>
        <v>3</v>
      </c>
      <c r="H334" s="133"/>
      <c r="I334" s="134">
        <f ca="1">IFERROR(__xludf.DUMMYFUNCTION("""COMPUTED_VALUE"""),680000)</f>
        <v>680000</v>
      </c>
    </row>
    <row r="335" spans="2:9" x14ac:dyDescent="0.3">
      <c r="B335" s="130" t="str">
        <f ca="1">IFERROR(__xludf.DUMMYFUNCTION("""COMPUTED_VALUE"""),"круг")</f>
        <v>круг</v>
      </c>
      <c r="C335" s="125" t="str">
        <f ca="1">IFERROR(__xludf.DUMMYFUNCTION("""COMPUTED_VALUE"""),"09Х16Н4Б (ЭП56)")</f>
        <v>09Х16Н4Б (ЭП56)</v>
      </c>
      <c r="D335" s="131">
        <f ca="1">IFERROR(__xludf.DUMMYFUNCTION("""COMPUTED_VALUE"""),80)</f>
        <v>80</v>
      </c>
      <c r="E335" s="131"/>
      <c r="F335" s="132" t="str">
        <f ca="1">IFERROR(__xludf.DUMMYFUNCTION("""COMPUTED_VALUE"""),"ТУ 14-1-3564, ГОСТ 2590 , ТО, узк, 2гп без РТ")</f>
        <v>ТУ 14-1-3564, ГОСТ 2590 , ТО, узк, 2гп без РТ</v>
      </c>
      <c r="G335" s="133">
        <f ca="1">IFERROR(__xludf.DUMMYFUNCTION("""COMPUTED_VALUE"""),0.0309999999999999)</f>
        <v>3.0999999999999899E-2</v>
      </c>
      <c r="H335" s="133"/>
      <c r="I335" s="134">
        <f ca="1">IFERROR(__xludf.DUMMYFUNCTION("""COMPUTED_VALUE"""),750000)</f>
        <v>750000</v>
      </c>
    </row>
    <row r="336" spans="2:9" x14ac:dyDescent="0.3">
      <c r="B336" s="130" t="str">
        <f ca="1">IFERROR(__xludf.DUMMYFUNCTION("""COMPUTED_VALUE"""),"круг")</f>
        <v>круг</v>
      </c>
      <c r="C336" s="125" t="str">
        <f ca="1">IFERROR(__xludf.DUMMYFUNCTION("""COMPUTED_VALUE"""),"09Х16Н4Б (ЭП56)")</f>
        <v>09Х16Н4Б (ЭП56)</v>
      </c>
      <c r="D336" s="131">
        <f ca="1">IFERROR(__xludf.DUMMYFUNCTION("""COMPUTED_VALUE"""),80)</f>
        <v>80</v>
      </c>
      <c r="E336" s="131"/>
      <c r="F336" s="132" t="str">
        <f ca="1">IFERROR(__xludf.DUMMYFUNCTION("""COMPUTED_VALUE"""),"2590/14-1-3564 РТТ, 3ГП")</f>
        <v>2590/14-1-3564 РТТ, 3ГП</v>
      </c>
      <c r="G336" s="133">
        <f ca="1">IFERROR(__xludf.DUMMYFUNCTION("""COMPUTED_VALUE"""),5)</f>
        <v>5</v>
      </c>
      <c r="H336" s="133"/>
      <c r="I336" s="134">
        <f ca="1">IFERROR(__xludf.DUMMYFUNCTION("""COMPUTED_VALUE"""),680000)</f>
        <v>680000</v>
      </c>
    </row>
    <row r="337" spans="2:9" x14ac:dyDescent="0.3">
      <c r="B337" s="130" t="str">
        <f ca="1">IFERROR(__xludf.DUMMYFUNCTION("""COMPUTED_VALUE"""),"круг")</f>
        <v>круг</v>
      </c>
      <c r="C337" s="125" t="str">
        <f ca="1">IFERROR(__xludf.DUMMYFUNCTION("""COMPUTED_VALUE"""),"09Х16Н4Б (ЭП56)")</f>
        <v>09Х16Н4Б (ЭП56)</v>
      </c>
      <c r="D337" s="131">
        <f ca="1">IFERROR(__xludf.DUMMYFUNCTION("""COMPUTED_VALUE"""),85)</f>
        <v>85</v>
      </c>
      <c r="E337" s="131"/>
      <c r="F337" s="132" t="str">
        <f ca="1">IFERROR(__xludf.DUMMYFUNCTION("""COMPUTED_VALUE"""),"2590/14-1-3564 РТТ, 3ГП")</f>
        <v>2590/14-1-3564 РТТ, 3ГП</v>
      </c>
      <c r="G337" s="133">
        <f ca="1">IFERROR(__xludf.DUMMYFUNCTION("""COMPUTED_VALUE"""),5)</f>
        <v>5</v>
      </c>
      <c r="H337" s="133"/>
      <c r="I337" s="134">
        <f ca="1">IFERROR(__xludf.DUMMYFUNCTION("""COMPUTED_VALUE"""),680000)</f>
        <v>680000</v>
      </c>
    </row>
    <row r="338" spans="2:9" x14ac:dyDescent="0.3">
      <c r="B338" s="130" t="str">
        <f ca="1">IFERROR(__xludf.DUMMYFUNCTION("""COMPUTED_VALUE"""),"круг")</f>
        <v>круг</v>
      </c>
      <c r="C338" s="125" t="str">
        <f ca="1">IFERROR(__xludf.DUMMYFUNCTION("""COMPUTED_VALUE"""),"09Х16Н4Б (ЭП56)")</f>
        <v>09Х16Н4Б (ЭП56)</v>
      </c>
      <c r="D338" s="131">
        <f ca="1">IFERROR(__xludf.DUMMYFUNCTION("""COMPUTED_VALUE"""),90)</f>
        <v>90</v>
      </c>
      <c r="E338" s="131"/>
      <c r="F338" s="132" t="str">
        <f ca="1">IFERROR(__xludf.DUMMYFUNCTION("""COMPUTED_VALUE"""),"ГОСТ 5949, ГОСТ 2590  РТТ, 2ГП")</f>
        <v>ГОСТ 5949, ГОСТ 2590  РТТ, 2ГП</v>
      </c>
      <c r="G338" s="133">
        <f ca="1">IFERROR(__xludf.DUMMYFUNCTION("""COMPUTED_VALUE"""),0.252)</f>
        <v>0.252</v>
      </c>
      <c r="H338" s="133"/>
      <c r="I338" s="134">
        <f ca="1">IFERROR(__xludf.DUMMYFUNCTION("""COMPUTED_VALUE"""),680000)</f>
        <v>680000</v>
      </c>
    </row>
    <row r="339" spans="2:9" x14ac:dyDescent="0.3">
      <c r="B339" s="130" t="str">
        <f ca="1">IFERROR(__xludf.DUMMYFUNCTION("""COMPUTED_VALUE"""),"круг")</f>
        <v>круг</v>
      </c>
      <c r="C339" s="125" t="str">
        <f ca="1">IFERROR(__xludf.DUMMYFUNCTION("""COMPUTED_VALUE"""),"09Х16Н4Б (ЭП56)")</f>
        <v>09Х16Н4Б (ЭП56)</v>
      </c>
      <c r="D339" s="131">
        <f ca="1">IFERROR(__xludf.DUMMYFUNCTION("""COMPUTED_VALUE"""),90)</f>
        <v>90</v>
      </c>
      <c r="E339" s="131"/>
      <c r="F339" s="132" t="str">
        <f ca="1">IFERROR(__xludf.DUMMYFUNCTION("""COMPUTED_VALUE"""),"ТУ 14-1-3564, ГОСТ 2590 , ТО, узк, 2гп без РТ")</f>
        <v>ТУ 14-1-3564, ГОСТ 2590 , ТО, узк, 2гп без РТ</v>
      </c>
      <c r="G339" s="133">
        <f ca="1">IFERROR(__xludf.DUMMYFUNCTION("""COMPUTED_VALUE"""),0.762)</f>
        <v>0.76200000000000001</v>
      </c>
      <c r="H339" s="133"/>
      <c r="I339" s="134">
        <f ca="1">IFERROR(__xludf.DUMMYFUNCTION("""COMPUTED_VALUE"""),745000)</f>
        <v>745000</v>
      </c>
    </row>
    <row r="340" spans="2:9" x14ac:dyDescent="0.3">
      <c r="B340" s="130" t="str">
        <f ca="1">IFERROR(__xludf.DUMMYFUNCTION("""COMPUTED_VALUE"""),"круг")</f>
        <v>круг</v>
      </c>
      <c r="C340" s="125" t="str">
        <f ca="1">IFERROR(__xludf.DUMMYFUNCTION("""COMPUTED_VALUE"""),"09Х16Н4Б (ЭП56)")</f>
        <v>09Х16Н4Б (ЭП56)</v>
      </c>
      <c r="D340" s="131">
        <f ca="1">IFERROR(__xludf.DUMMYFUNCTION("""COMPUTED_VALUE"""),90)</f>
        <v>90</v>
      </c>
      <c r="E340" s="131"/>
      <c r="F340" s="132" t="str">
        <f ca="1">IFERROR(__xludf.DUMMYFUNCTION("""COMPUTED_VALUE"""),"ТУ 14-1-3564, ГОСТ 2590 , ТО, узк, 2гп без РТ")</f>
        <v>ТУ 14-1-3564, ГОСТ 2590 , ТО, узк, 2гп без РТ</v>
      </c>
      <c r="G340" s="133">
        <f ca="1">IFERROR(__xludf.DUMMYFUNCTION("""COMPUTED_VALUE"""),5.715)</f>
        <v>5.7149999999999999</v>
      </c>
      <c r="H340" s="133"/>
      <c r="I340" s="134">
        <f ca="1">IFERROR(__xludf.DUMMYFUNCTION("""COMPUTED_VALUE"""),745000)</f>
        <v>745000</v>
      </c>
    </row>
    <row r="341" spans="2:9" x14ac:dyDescent="0.3">
      <c r="B341" s="130" t="str">
        <f ca="1">IFERROR(__xludf.DUMMYFUNCTION("""COMPUTED_VALUE"""),"круг")</f>
        <v>круг</v>
      </c>
      <c r="C341" s="125" t="str">
        <f ca="1">IFERROR(__xludf.DUMMYFUNCTION("""COMPUTED_VALUE"""),"09Х16Н4Б (ЭП56)")</f>
        <v>09Х16Н4Б (ЭП56)</v>
      </c>
      <c r="D341" s="131">
        <f ca="1">IFERROR(__xludf.DUMMYFUNCTION("""COMPUTED_VALUE"""),95)</f>
        <v>95</v>
      </c>
      <c r="E341" s="131"/>
      <c r="F341" s="132" t="str">
        <f ca="1">IFERROR(__xludf.DUMMYFUNCTION("""COMPUTED_VALUE"""),"ту14-1-3564, РТТ, УЗК,2ГП, ")</f>
        <v xml:space="preserve">ту14-1-3564, РТТ, УЗК,2ГП, </v>
      </c>
      <c r="G341" s="133">
        <f ca="1">IFERROR(__xludf.DUMMYFUNCTION("""COMPUTED_VALUE"""),0.22)</f>
        <v>0.22</v>
      </c>
      <c r="H341" s="133"/>
      <c r="I341" s="134">
        <f ca="1">IFERROR(__xludf.DUMMYFUNCTION("""COMPUTED_VALUE"""),695000)</f>
        <v>695000</v>
      </c>
    </row>
    <row r="342" spans="2:9" x14ac:dyDescent="0.3">
      <c r="B342" s="130" t="str">
        <f ca="1">IFERROR(__xludf.DUMMYFUNCTION("""COMPUTED_VALUE"""),"круг")</f>
        <v>круг</v>
      </c>
      <c r="C342" s="125" t="str">
        <f ca="1">IFERROR(__xludf.DUMMYFUNCTION("""COMPUTED_VALUE"""),"09Х16Н4Б (ЭП56)")</f>
        <v>09Х16Н4Б (ЭП56)</v>
      </c>
      <c r="D342" s="131">
        <f ca="1">IFERROR(__xludf.DUMMYFUNCTION("""COMPUTED_VALUE"""),95)</f>
        <v>95</v>
      </c>
      <c r="E342" s="131"/>
      <c r="F342" s="132" t="str">
        <f ca="1">IFERROR(__xludf.DUMMYFUNCTION("""COMPUTED_VALUE"""),"ГОСТ 5949, ГОСТ 2590  ТО, узк, 2гп, БЕЗ РТ")</f>
        <v>ГОСТ 5949, ГОСТ 2590  ТО, узк, 2гп, БЕЗ РТ</v>
      </c>
      <c r="G342" s="133">
        <f ca="1">IFERROR(__xludf.DUMMYFUNCTION("""COMPUTED_VALUE"""),0.0710000000000001)</f>
        <v>7.1000000000000105E-2</v>
      </c>
      <c r="H342" s="133"/>
      <c r="I342" s="134">
        <f ca="1">IFERROR(__xludf.DUMMYFUNCTION("""COMPUTED_VALUE"""),650000)</f>
        <v>650000</v>
      </c>
    </row>
    <row r="343" spans="2:9" x14ac:dyDescent="0.3">
      <c r="B343" s="130" t="str">
        <f ca="1">IFERROR(__xludf.DUMMYFUNCTION("""COMPUTED_VALUE"""),"круг")</f>
        <v>круг</v>
      </c>
      <c r="C343" s="125" t="str">
        <f ca="1">IFERROR(__xludf.DUMMYFUNCTION("""COMPUTED_VALUE"""),"09Х16Н4Б (ЭП56)")</f>
        <v>09Х16Н4Б (ЭП56)</v>
      </c>
      <c r="D343" s="131">
        <f ca="1">IFERROR(__xludf.DUMMYFUNCTION("""COMPUTED_VALUE"""),95)</f>
        <v>95</v>
      </c>
      <c r="E343" s="131"/>
      <c r="F343" s="132" t="str">
        <f ca="1">IFERROR(__xludf.DUMMYFUNCTION("""COMPUTED_VALUE"""),"ГОСТ 5949, ГОСТ 2590  2ГП")</f>
        <v>ГОСТ 5949, ГОСТ 2590  2ГП</v>
      </c>
      <c r="G343" s="133">
        <f ca="1">IFERROR(__xludf.DUMMYFUNCTION("""COMPUTED_VALUE"""),1.69)</f>
        <v>1.69</v>
      </c>
      <c r="H343" s="133"/>
      <c r="I343" s="134">
        <f ca="1">IFERROR(__xludf.DUMMYFUNCTION("""COMPUTED_VALUE"""),650000)</f>
        <v>650000</v>
      </c>
    </row>
    <row r="344" spans="2:9" x14ac:dyDescent="0.3">
      <c r="B344" s="130" t="str">
        <f ca="1">IFERROR(__xludf.DUMMYFUNCTION("""COMPUTED_VALUE"""),"круг")</f>
        <v>круг</v>
      </c>
      <c r="C344" s="125" t="str">
        <f ca="1">IFERROR(__xludf.DUMMYFUNCTION("""COMPUTED_VALUE"""),"09Х16Н4Б (ЭП56)")</f>
        <v>09Х16Н4Б (ЭП56)</v>
      </c>
      <c r="D344" s="131">
        <f ca="1">IFERROR(__xludf.DUMMYFUNCTION("""COMPUTED_VALUE"""),95)</f>
        <v>95</v>
      </c>
      <c r="E344" s="131"/>
      <c r="F344" s="132" t="str">
        <f ca="1">IFERROR(__xludf.DUMMYFUNCTION("""COMPUTED_VALUE"""),"ТУ 14-1-3564, ГОСТ 2590 , ТО, узк, 3гп")</f>
        <v>ТУ 14-1-3564, ГОСТ 2590 , ТО, узк, 3гп</v>
      </c>
      <c r="G344" s="133">
        <f ca="1">IFERROR(__xludf.DUMMYFUNCTION("""COMPUTED_VALUE"""),4.27499999999999)</f>
        <v>4.2749999999999897</v>
      </c>
      <c r="H344" s="133"/>
      <c r="I344" s="134">
        <f ca="1">IFERROR(__xludf.DUMMYFUNCTION("""COMPUTED_VALUE"""),650000)</f>
        <v>650000</v>
      </c>
    </row>
    <row r="345" spans="2:9" x14ac:dyDescent="0.3">
      <c r="B345" s="130" t="str">
        <f ca="1">IFERROR(__xludf.DUMMYFUNCTION("""COMPUTED_VALUE"""),"круг")</f>
        <v>круг</v>
      </c>
      <c r="C345" s="125" t="str">
        <f ca="1">IFERROR(__xludf.DUMMYFUNCTION("""COMPUTED_VALUE"""),"09Х16Н4Б (ЭП56)")</f>
        <v>09Х16Н4Б (ЭП56)</v>
      </c>
      <c r="D345" s="131">
        <f ca="1">IFERROR(__xludf.DUMMYFUNCTION("""COMPUTED_VALUE"""),95)</f>
        <v>95</v>
      </c>
      <c r="E345" s="131"/>
      <c r="F345" s="132" t="str">
        <f ca="1">IFERROR(__xludf.DUMMYFUNCTION("""COMPUTED_VALUE"""),"ту14-1-3564, РТТ, УЗК,2ГП, ")</f>
        <v xml:space="preserve">ту14-1-3564, РТТ, УЗК,2ГП, </v>
      </c>
      <c r="G345" s="133">
        <f ca="1">IFERROR(__xludf.DUMMYFUNCTION("""COMPUTED_VALUE"""),2.15)</f>
        <v>2.15</v>
      </c>
      <c r="H345" s="133"/>
      <c r="I345" s="134">
        <f ca="1">IFERROR(__xludf.DUMMYFUNCTION("""COMPUTED_VALUE"""),695000)</f>
        <v>695000</v>
      </c>
    </row>
    <row r="346" spans="2:9" x14ac:dyDescent="0.3">
      <c r="B346" s="130" t="str">
        <f ca="1">IFERROR(__xludf.DUMMYFUNCTION("""COMPUTED_VALUE"""),"круг")</f>
        <v>круг</v>
      </c>
      <c r="C346" s="125" t="str">
        <f ca="1">IFERROR(__xludf.DUMMYFUNCTION("""COMPUTED_VALUE"""),"09Х16Н4Б (ЭП56)")</f>
        <v>09Х16Н4Б (ЭП56)</v>
      </c>
      <c r="D346" s="131">
        <f ca="1">IFERROR(__xludf.DUMMYFUNCTION("""COMPUTED_VALUE"""),100)</f>
        <v>100</v>
      </c>
      <c r="E346" s="131"/>
      <c r="F346" s="132" t="str">
        <f ca="1">IFERROR(__xludf.DUMMYFUNCTION("""COMPUTED_VALUE"""),"ту14-1-3564, РТТ, УЗК,2ГП, ")</f>
        <v xml:space="preserve">ту14-1-3564, РТТ, УЗК,2ГП, </v>
      </c>
      <c r="G346" s="133">
        <f ca="1">IFERROR(__xludf.DUMMYFUNCTION("""COMPUTED_VALUE"""),0.148)</f>
        <v>0.14799999999999999</v>
      </c>
      <c r="H346" s="133"/>
      <c r="I346" s="134">
        <f ca="1">IFERROR(__xludf.DUMMYFUNCTION("""COMPUTED_VALUE"""),680000)</f>
        <v>680000</v>
      </c>
    </row>
    <row r="347" spans="2:9" x14ac:dyDescent="0.3">
      <c r="B347" s="130" t="str">
        <f ca="1">IFERROR(__xludf.DUMMYFUNCTION("""COMPUTED_VALUE"""),"круг")</f>
        <v>круг</v>
      </c>
      <c r="C347" s="125" t="str">
        <f ca="1">IFERROR(__xludf.DUMMYFUNCTION("""COMPUTED_VALUE"""),"09Х16Н4Б (ЭП56)")</f>
        <v>09Х16Н4Б (ЭП56)</v>
      </c>
      <c r="D347" s="131">
        <f ca="1">IFERROR(__xludf.DUMMYFUNCTION("""COMPUTED_VALUE"""),100)</f>
        <v>100</v>
      </c>
      <c r="E347" s="131"/>
      <c r="F347" s="132" t="str">
        <f ca="1">IFERROR(__xludf.DUMMYFUNCTION("""COMPUTED_VALUE"""),"ту14-1-3564, РТТ, УЗК,2ГП, ")</f>
        <v xml:space="preserve">ту14-1-3564, РТТ, УЗК,2ГП, </v>
      </c>
      <c r="G347" s="133">
        <f ca="1">IFERROR(__xludf.DUMMYFUNCTION("""COMPUTED_VALUE"""),1.265)</f>
        <v>1.2649999999999999</v>
      </c>
      <c r="H347" s="133"/>
      <c r="I347" s="134">
        <f ca="1">IFERROR(__xludf.DUMMYFUNCTION("""COMPUTED_VALUE"""),680000)</f>
        <v>680000</v>
      </c>
    </row>
    <row r="348" spans="2:9" x14ac:dyDescent="0.3">
      <c r="B348" s="130" t="str">
        <f ca="1">IFERROR(__xludf.DUMMYFUNCTION("""COMPUTED_VALUE"""),"круг")</f>
        <v>круг</v>
      </c>
      <c r="C348" s="125" t="str">
        <f ca="1">IFERROR(__xludf.DUMMYFUNCTION("""COMPUTED_VALUE"""),"09Х16Н4Б (ЭП56)")</f>
        <v>09Х16Н4Б (ЭП56)</v>
      </c>
      <c r="D348" s="131">
        <f ca="1">IFERROR(__xludf.DUMMYFUNCTION("""COMPUTED_VALUE"""),100)</f>
        <v>100</v>
      </c>
      <c r="E348" s="131"/>
      <c r="F348" s="132" t="str">
        <f ca="1">IFERROR(__xludf.DUMMYFUNCTION("""COMPUTED_VALUE"""),"ту14-1-3564, РТТ, УЗК,2ГП, ")</f>
        <v xml:space="preserve">ту14-1-3564, РТТ, УЗК,2ГП, </v>
      </c>
      <c r="G348" s="133">
        <f ca="1">IFERROR(__xludf.DUMMYFUNCTION("""COMPUTED_VALUE"""),0.99)</f>
        <v>0.99</v>
      </c>
      <c r="H348" s="133"/>
      <c r="I348" s="134">
        <f ca="1">IFERROR(__xludf.DUMMYFUNCTION("""COMPUTED_VALUE"""),680000)</f>
        <v>680000</v>
      </c>
    </row>
    <row r="349" spans="2:9" x14ac:dyDescent="0.3">
      <c r="B349" s="130" t="str">
        <f ca="1">IFERROR(__xludf.DUMMYFUNCTION("""COMPUTED_VALUE"""),"круг")</f>
        <v>круг</v>
      </c>
      <c r="C349" s="125" t="str">
        <f ca="1">IFERROR(__xludf.DUMMYFUNCTION("""COMPUTED_VALUE"""),"09Х16Н4Б (ЭП56)")</f>
        <v>09Х16Н4Б (ЭП56)</v>
      </c>
      <c r="D349" s="131">
        <f ca="1">IFERROR(__xludf.DUMMYFUNCTION("""COMPUTED_VALUE"""),100)</f>
        <v>100</v>
      </c>
      <c r="E349" s="131"/>
      <c r="F349" s="132" t="str">
        <f ca="1">IFERROR(__xludf.DUMMYFUNCTION("""COMPUTED_VALUE"""),"2590/14-1-3564 РТТ, 3ГП")</f>
        <v>2590/14-1-3564 РТТ, 3ГП</v>
      </c>
      <c r="G349" s="133">
        <f ca="1">IFERROR(__xludf.DUMMYFUNCTION("""COMPUTED_VALUE"""),5)</f>
        <v>5</v>
      </c>
      <c r="H349" s="133"/>
      <c r="I349" s="134">
        <f ca="1">IFERROR(__xludf.DUMMYFUNCTION("""COMPUTED_VALUE"""),680000)</f>
        <v>680000</v>
      </c>
    </row>
    <row r="350" spans="2:9" x14ac:dyDescent="0.3">
      <c r="B350" s="130" t="str">
        <f ca="1">IFERROR(__xludf.DUMMYFUNCTION("""COMPUTED_VALUE"""),"круг")</f>
        <v>круг</v>
      </c>
      <c r="C350" s="125" t="str">
        <f ca="1">IFERROR(__xludf.DUMMYFUNCTION("""COMPUTED_VALUE"""),"09Х16Н4Б (ЭП56)")</f>
        <v>09Х16Н4Б (ЭП56)</v>
      </c>
      <c r="D350" s="131">
        <f ca="1">IFERROR(__xludf.DUMMYFUNCTION("""COMPUTED_VALUE"""),105)</f>
        <v>105</v>
      </c>
      <c r="E350" s="131"/>
      <c r="F350" s="132" t="str">
        <f ca="1">IFERROR(__xludf.DUMMYFUNCTION("""COMPUTED_VALUE"""),"ТУ 14-1-3564, ГОСТ 2590 , ТО, узк, 2гп без РТ")</f>
        <v>ТУ 14-1-3564, ГОСТ 2590 , ТО, узк, 2гп без РТ</v>
      </c>
      <c r="G350" s="133">
        <f ca="1">IFERROR(__xludf.DUMMYFUNCTION("""COMPUTED_VALUE"""),1.66)</f>
        <v>1.66</v>
      </c>
      <c r="H350" s="133"/>
      <c r="I350" s="134">
        <f ca="1">IFERROR(__xludf.DUMMYFUNCTION("""COMPUTED_VALUE"""),695000)</f>
        <v>695000</v>
      </c>
    </row>
    <row r="351" spans="2:9" x14ac:dyDescent="0.3">
      <c r="B351" s="130" t="str">
        <f ca="1">IFERROR(__xludf.DUMMYFUNCTION("""COMPUTED_VALUE"""),"круг")</f>
        <v>круг</v>
      </c>
      <c r="C351" s="125" t="str">
        <f ca="1">IFERROR(__xludf.DUMMYFUNCTION("""COMPUTED_VALUE"""),"09Х16Н4Б (ЭП56)")</f>
        <v>09Х16Н4Б (ЭП56)</v>
      </c>
      <c r="D351" s="131">
        <f ca="1">IFERROR(__xludf.DUMMYFUNCTION("""COMPUTED_VALUE"""),105)</f>
        <v>105</v>
      </c>
      <c r="E351" s="131"/>
      <c r="F351" s="132" t="str">
        <f ca="1">IFERROR(__xludf.DUMMYFUNCTION("""COMPUTED_VALUE"""),"ТУ 14-1-3564, ГОСТ 2590 , ТО, узк, 2гп без РТ")</f>
        <v>ТУ 14-1-3564, ГОСТ 2590 , ТО, узк, 2гп без РТ</v>
      </c>
      <c r="G351" s="133">
        <f ca="1">IFERROR(__xludf.DUMMYFUNCTION("""COMPUTED_VALUE"""),3.785)</f>
        <v>3.7850000000000001</v>
      </c>
      <c r="H351" s="133"/>
      <c r="I351" s="134">
        <f ca="1">IFERROR(__xludf.DUMMYFUNCTION("""COMPUTED_VALUE"""),695000)</f>
        <v>695000</v>
      </c>
    </row>
    <row r="352" spans="2:9" x14ac:dyDescent="0.3">
      <c r="B352" s="130" t="str">
        <f ca="1">IFERROR(__xludf.DUMMYFUNCTION("""COMPUTED_VALUE"""),"круг")</f>
        <v>круг</v>
      </c>
      <c r="C352" s="125" t="str">
        <f ca="1">IFERROR(__xludf.DUMMYFUNCTION("""COMPUTED_VALUE"""),"09Х16Н4Б (ЭП56)")</f>
        <v>09Х16Н4Б (ЭП56)</v>
      </c>
      <c r="D352" s="131">
        <f ca="1">IFERROR(__xludf.DUMMYFUNCTION("""COMPUTED_VALUE"""),110)</f>
        <v>110</v>
      </c>
      <c r="E352" s="131"/>
      <c r="F352" s="132" t="str">
        <f ca="1">IFERROR(__xludf.DUMMYFUNCTION("""COMPUTED_VALUE"""),"2590/14-1-3564 РТТ, 3ГП")</f>
        <v>2590/14-1-3564 РТТ, 3ГП</v>
      </c>
      <c r="G352" s="133">
        <f ca="1">IFERROR(__xludf.DUMMYFUNCTION("""COMPUTED_VALUE"""),5)</f>
        <v>5</v>
      </c>
      <c r="H352" s="133"/>
      <c r="I352" s="134">
        <f ca="1">IFERROR(__xludf.DUMMYFUNCTION("""COMPUTED_VALUE"""),680000)</f>
        <v>680000</v>
      </c>
    </row>
    <row r="353" spans="2:9" x14ac:dyDescent="0.3">
      <c r="B353" s="130" t="str">
        <f ca="1">IFERROR(__xludf.DUMMYFUNCTION("""COMPUTED_VALUE"""),"круг")</f>
        <v>круг</v>
      </c>
      <c r="C353" s="125" t="str">
        <f ca="1">IFERROR(__xludf.DUMMYFUNCTION("""COMPUTED_VALUE"""),"09Х16Н4Б (ЭП56)")</f>
        <v>09Х16Н4Б (ЭП56)</v>
      </c>
      <c r="D353" s="131">
        <f ca="1">IFERROR(__xludf.DUMMYFUNCTION("""COMPUTED_VALUE"""),120)</f>
        <v>120</v>
      </c>
      <c r="E353" s="131"/>
      <c r="F353" s="132" t="str">
        <f ca="1">IFERROR(__xludf.DUMMYFUNCTION("""COMPUTED_VALUE"""),"ГОСТ 5949, РТТ, УЗК,3ГП, ")</f>
        <v xml:space="preserve">ГОСТ 5949, РТТ, УЗК,3ГП, </v>
      </c>
      <c r="G353" s="133">
        <f ca="1">IFERROR(__xludf.DUMMYFUNCTION("""COMPUTED_VALUE"""),0.067)</f>
        <v>6.7000000000000004E-2</v>
      </c>
      <c r="H353" s="133"/>
      <c r="I353" s="134">
        <f ca="1">IFERROR(__xludf.DUMMYFUNCTION("""COMPUTED_VALUE"""),680000)</f>
        <v>680000</v>
      </c>
    </row>
    <row r="354" spans="2:9" x14ac:dyDescent="0.3">
      <c r="B354" s="130" t="str">
        <f ca="1">IFERROR(__xludf.DUMMYFUNCTION("""COMPUTED_VALUE"""),"круг")</f>
        <v>круг</v>
      </c>
      <c r="C354" s="125" t="str">
        <f ca="1">IFERROR(__xludf.DUMMYFUNCTION("""COMPUTED_VALUE"""),"09Х16Н4Б (ЭП56)")</f>
        <v>09Х16Н4Б (ЭП56)</v>
      </c>
      <c r="D354" s="131">
        <f ca="1">IFERROR(__xludf.DUMMYFUNCTION("""COMPUTED_VALUE"""),130)</f>
        <v>130</v>
      </c>
      <c r="E354" s="131"/>
      <c r="F354" s="132" t="str">
        <f ca="1">IFERROR(__xludf.DUMMYFUNCTION("""COMPUTED_VALUE"""),"ТУ 14-1-3564, ГОСТ 2590 , ТО, узк, 2гп без РТ")</f>
        <v>ТУ 14-1-3564, ГОСТ 2590 , ТО, узк, 2гп без РТ</v>
      </c>
      <c r="G354" s="133">
        <f ca="1">IFERROR(__xludf.DUMMYFUNCTION("""COMPUTED_VALUE"""),0.0649999999999995)</f>
        <v>6.4999999999999503E-2</v>
      </c>
      <c r="H354" s="133"/>
      <c r="I354" s="134">
        <f ca="1">IFERROR(__xludf.DUMMYFUNCTION("""COMPUTED_VALUE"""),750000)</f>
        <v>750000</v>
      </c>
    </row>
    <row r="355" spans="2:9" x14ac:dyDescent="0.3">
      <c r="B355" s="130" t="str">
        <f ca="1">IFERROR(__xludf.DUMMYFUNCTION("""COMPUTED_VALUE"""),"круг")</f>
        <v>круг</v>
      </c>
      <c r="C355" s="125" t="str">
        <f ca="1">IFERROR(__xludf.DUMMYFUNCTION("""COMPUTED_VALUE"""),"09Х16Н4Б (ЭП56)")</f>
        <v>09Х16Н4Б (ЭП56)</v>
      </c>
      <c r="D355" s="131">
        <f ca="1">IFERROR(__xludf.DUMMYFUNCTION("""COMPUTED_VALUE"""),140)</f>
        <v>140</v>
      </c>
      <c r="E355" s="131"/>
      <c r="F355" s="132" t="str">
        <f ca="1">IFERROR(__xludf.DUMMYFUNCTION("""COMPUTED_VALUE"""),"ТУ 14-1-3564, ГОСТ 2590 , ТО, узк, 2гп без РТ")</f>
        <v>ТУ 14-1-3564, ГОСТ 2590 , ТО, узк, 2гп без РТ</v>
      </c>
      <c r="G355" s="133">
        <f ca="1">IFERROR(__xludf.DUMMYFUNCTION("""COMPUTED_VALUE"""),3.385)</f>
        <v>3.3849999999999998</v>
      </c>
      <c r="H355" s="133"/>
      <c r="I355" s="134">
        <f ca="1">IFERROR(__xludf.DUMMYFUNCTION("""COMPUTED_VALUE"""),750000)</f>
        <v>750000</v>
      </c>
    </row>
    <row r="356" spans="2:9" x14ac:dyDescent="0.3">
      <c r="B356" s="130" t="str">
        <f ca="1">IFERROR(__xludf.DUMMYFUNCTION("""COMPUTED_VALUE"""),"круг")</f>
        <v>круг</v>
      </c>
      <c r="C356" s="125" t="str">
        <f ca="1">IFERROR(__xludf.DUMMYFUNCTION("""COMPUTED_VALUE"""),"09Х16Н4Б (ЭП56)")</f>
        <v>09Х16Н4Б (ЭП56)</v>
      </c>
      <c r="D356" s="131">
        <f ca="1">IFERROR(__xludf.DUMMYFUNCTION("""COMPUTED_VALUE"""),140)</f>
        <v>140</v>
      </c>
      <c r="E356" s="131"/>
      <c r="F356" s="132" t="str">
        <f ca="1">IFERROR(__xludf.DUMMYFUNCTION("""COMPUTED_VALUE"""),"ТУ 14-1-3564, ГОСТ 2590 , ТО, узк, 2гп без РТ")</f>
        <v>ТУ 14-1-3564, ГОСТ 2590 , ТО, узк, 2гп без РТ</v>
      </c>
      <c r="G356" s="133">
        <f ca="1">IFERROR(__xludf.DUMMYFUNCTION("""COMPUTED_VALUE"""),2.634)</f>
        <v>2.6339999999999999</v>
      </c>
      <c r="H356" s="133"/>
      <c r="I356" s="134">
        <f ca="1">IFERROR(__xludf.DUMMYFUNCTION("""COMPUTED_VALUE"""),750000)</f>
        <v>750000</v>
      </c>
    </row>
    <row r="357" spans="2:9" x14ac:dyDescent="0.3">
      <c r="B357" s="130" t="str">
        <f ca="1">IFERROR(__xludf.DUMMYFUNCTION("""COMPUTED_VALUE"""),"круг")</f>
        <v>круг</v>
      </c>
      <c r="C357" s="125" t="str">
        <f ca="1">IFERROR(__xludf.DUMMYFUNCTION("""COMPUTED_VALUE"""),"09Х16Н4Б (ЭП56)")</f>
        <v>09Х16Н4Б (ЭП56)</v>
      </c>
      <c r="D357" s="131">
        <f ca="1">IFERROR(__xludf.DUMMYFUNCTION("""COMPUTED_VALUE"""),150)</f>
        <v>150</v>
      </c>
      <c r="E357" s="131"/>
      <c r="F357" s="132" t="str">
        <f ca="1">IFERROR(__xludf.DUMMYFUNCTION("""COMPUTED_VALUE"""),"ТУ 14-1-3564, ГОСТ 2590 АТП, ТО, узк, 3гп")</f>
        <v>ТУ 14-1-3564, ГОСТ 2590 АТП, ТО, узк, 3гп</v>
      </c>
      <c r="G357" s="133">
        <f ca="1">IFERROR(__xludf.DUMMYFUNCTION("""COMPUTED_VALUE"""),0.0769999999999999)</f>
        <v>7.6999999999999902E-2</v>
      </c>
      <c r="H357" s="133"/>
      <c r="I357" s="134">
        <f ca="1">IFERROR(__xludf.DUMMYFUNCTION("""COMPUTED_VALUE"""),745000)</f>
        <v>745000</v>
      </c>
    </row>
    <row r="358" spans="2:9" x14ac:dyDescent="0.3">
      <c r="B358" s="130" t="str">
        <f ca="1">IFERROR(__xludf.DUMMYFUNCTION("""COMPUTED_VALUE"""),"круг")</f>
        <v>круг</v>
      </c>
      <c r="C358" s="125" t="str">
        <f ca="1">IFERROR(__xludf.DUMMYFUNCTION("""COMPUTED_VALUE"""),"09Х16Н4Б (ЭП56)")</f>
        <v>09Х16Н4Б (ЭП56)</v>
      </c>
      <c r="D358" s="131">
        <f ca="1">IFERROR(__xludf.DUMMYFUNCTION("""COMPUTED_VALUE"""),150)</f>
        <v>150</v>
      </c>
      <c r="E358" s="131"/>
      <c r="F358" s="132" t="str">
        <f ca="1">IFERROR(__xludf.DUMMYFUNCTION("""COMPUTED_VALUE"""),"ТУ 14-1-3564, ГОСТ 2590 , ТО, узк, 2гп без РТ")</f>
        <v>ТУ 14-1-3564, ГОСТ 2590 , ТО, узк, 2гп без РТ</v>
      </c>
      <c r="G358" s="133">
        <f ca="1">IFERROR(__xludf.DUMMYFUNCTION("""COMPUTED_VALUE"""),4.52)</f>
        <v>4.5199999999999996</v>
      </c>
      <c r="H358" s="133"/>
      <c r="I358" s="134">
        <f ca="1">IFERROR(__xludf.DUMMYFUNCTION("""COMPUTED_VALUE"""),745000)</f>
        <v>745000</v>
      </c>
    </row>
    <row r="359" spans="2:9" x14ac:dyDescent="0.3">
      <c r="B359" s="130" t="str">
        <f ca="1">IFERROR(__xludf.DUMMYFUNCTION("""COMPUTED_VALUE"""),"круг")</f>
        <v>круг</v>
      </c>
      <c r="C359" s="125" t="str">
        <f ca="1">IFERROR(__xludf.DUMMYFUNCTION("""COMPUTED_VALUE"""),"09Х16Н4Б (ЭП56)")</f>
        <v>09Х16Н4Б (ЭП56)</v>
      </c>
      <c r="D359" s="131">
        <f ca="1">IFERROR(__xludf.DUMMYFUNCTION("""COMPUTED_VALUE"""),150)</f>
        <v>150</v>
      </c>
      <c r="E359" s="131"/>
      <c r="F359" s="132" t="str">
        <f ca="1">IFERROR(__xludf.DUMMYFUNCTION("""COMPUTED_VALUE"""),"ТУ 14-1-3564, ГОСТ 2590 , ТО, узк, 2гп без РТ")</f>
        <v>ТУ 14-1-3564, ГОСТ 2590 , ТО, узк, 2гп без РТ</v>
      </c>
      <c r="G359" s="133">
        <f ca="1">IFERROR(__xludf.DUMMYFUNCTION("""COMPUTED_VALUE"""),1.945)</f>
        <v>1.9450000000000001</v>
      </c>
      <c r="H359" s="133"/>
      <c r="I359" s="134">
        <f ca="1">IFERROR(__xludf.DUMMYFUNCTION("""COMPUTED_VALUE"""),745000)</f>
        <v>745000</v>
      </c>
    </row>
    <row r="360" spans="2:9" x14ac:dyDescent="0.3">
      <c r="B360" s="130" t="str">
        <f ca="1">IFERROR(__xludf.DUMMYFUNCTION("""COMPUTED_VALUE"""),"круг")</f>
        <v>круг</v>
      </c>
      <c r="C360" s="125" t="str">
        <f ca="1">IFERROR(__xludf.DUMMYFUNCTION("""COMPUTED_VALUE"""),"09Х16Н4Б (ЭП56)")</f>
        <v>09Х16Н4Б (ЭП56)</v>
      </c>
      <c r="D360" s="131">
        <f ca="1">IFERROR(__xludf.DUMMYFUNCTION("""COMPUTED_VALUE"""),160)</f>
        <v>160</v>
      </c>
      <c r="E360" s="131"/>
      <c r="F360" s="132" t="str">
        <f ca="1">IFERROR(__xludf.DUMMYFUNCTION("""COMPUTED_VALUE"""),"ТУ 14-1-3564, ГОСТ 2590 , ТО, узк, 2гп без РТ")</f>
        <v>ТУ 14-1-3564, ГОСТ 2590 , ТО, узк, 2гп без РТ</v>
      </c>
      <c r="G360" s="133">
        <f ca="1">IFERROR(__xludf.DUMMYFUNCTION("""COMPUTED_VALUE"""),0.125999999999999)</f>
        <v>0.125999999999999</v>
      </c>
      <c r="H360" s="133"/>
      <c r="I360" s="134">
        <f ca="1">IFERROR(__xludf.DUMMYFUNCTION("""COMPUTED_VALUE"""),695000)</f>
        <v>695000</v>
      </c>
    </row>
    <row r="361" spans="2:9" x14ac:dyDescent="0.3">
      <c r="B361" s="130" t="str">
        <f ca="1">IFERROR(__xludf.DUMMYFUNCTION("""COMPUTED_VALUE"""),"круг")</f>
        <v>круг</v>
      </c>
      <c r="C361" s="125" t="str">
        <f ca="1">IFERROR(__xludf.DUMMYFUNCTION("""COMPUTED_VALUE"""),"09Х16Н4Б (ЭП56)")</f>
        <v>09Х16Н4Б (ЭП56)</v>
      </c>
      <c r="D361" s="131">
        <f ca="1">IFERROR(__xludf.DUMMYFUNCTION("""COMPUTED_VALUE"""),160)</f>
        <v>160</v>
      </c>
      <c r="E361" s="131"/>
      <c r="F361" s="132" t="str">
        <f ca="1">IFERROR(__xludf.DUMMYFUNCTION("""COMPUTED_VALUE"""),"2590/14-1-3564 РТТ, 3ГП")</f>
        <v>2590/14-1-3564 РТТ, 3ГП</v>
      </c>
      <c r="G361" s="133">
        <f ca="1">IFERROR(__xludf.DUMMYFUNCTION("""COMPUTED_VALUE"""),5)</f>
        <v>5</v>
      </c>
      <c r="H361" s="133"/>
      <c r="I361" s="134">
        <f ca="1">IFERROR(__xludf.DUMMYFUNCTION("""COMPUTED_VALUE"""),680000)</f>
        <v>680000</v>
      </c>
    </row>
    <row r="362" spans="2:9" x14ac:dyDescent="0.3">
      <c r="B362" s="130" t="str">
        <f ca="1">IFERROR(__xludf.DUMMYFUNCTION("""COMPUTED_VALUE"""),"круг")</f>
        <v>круг</v>
      </c>
      <c r="C362" s="125" t="str">
        <f ca="1">IFERROR(__xludf.DUMMYFUNCTION("""COMPUTED_VALUE"""),"09Х16Н4Б (ЭП56)")</f>
        <v>09Х16Н4Б (ЭП56)</v>
      </c>
      <c r="D362" s="131">
        <f ca="1">IFERROR(__xludf.DUMMYFUNCTION("""COMPUTED_VALUE"""),170)</f>
        <v>170</v>
      </c>
      <c r="E362" s="131"/>
      <c r="F362" s="132" t="str">
        <f ca="1">IFERROR(__xludf.DUMMYFUNCTION("""COMPUTED_VALUE"""),"ГОСТ 5949, ГОСТ 2590 2гп, обточ.")</f>
        <v>ГОСТ 5949, ГОСТ 2590 2гп, обточ.</v>
      </c>
      <c r="G362" s="133">
        <f ca="1">IFERROR(__xludf.DUMMYFUNCTION("""COMPUTED_VALUE"""),2.005)</f>
        <v>2.0049999999999999</v>
      </c>
      <c r="H362" s="133"/>
      <c r="I362" s="134">
        <f ca="1">IFERROR(__xludf.DUMMYFUNCTION("""COMPUTED_VALUE"""),695000)</f>
        <v>695000</v>
      </c>
    </row>
    <row r="363" spans="2:9" x14ac:dyDescent="0.3">
      <c r="B363" s="130" t="str">
        <f ca="1">IFERROR(__xludf.DUMMYFUNCTION("""COMPUTED_VALUE"""),"круг")</f>
        <v>круг</v>
      </c>
      <c r="C363" s="125" t="str">
        <f ca="1">IFERROR(__xludf.DUMMYFUNCTION("""COMPUTED_VALUE"""),"09Х16Н4Б (ЭП56)")</f>
        <v>09Х16Н4Б (ЭП56)</v>
      </c>
      <c r="D363" s="131">
        <f ca="1">IFERROR(__xludf.DUMMYFUNCTION("""COMPUTED_VALUE"""),170)</f>
        <v>170</v>
      </c>
      <c r="E363" s="131"/>
      <c r="F363" s="132" t="str">
        <f ca="1">IFERROR(__xludf.DUMMYFUNCTION("""COMPUTED_VALUE"""),"ТУ 14-1-3564, ГОСТ 2590 , ТО, узк, 2гп без РТ")</f>
        <v>ТУ 14-1-3564, ГОСТ 2590 , ТО, узк, 2гп без РТ</v>
      </c>
      <c r="G363" s="133">
        <f ca="1">IFERROR(__xludf.DUMMYFUNCTION("""COMPUTED_VALUE"""),0.112)</f>
        <v>0.112</v>
      </c>
      <c r="H363" s="133"/>
      <c r="I363" s="134">
        <f ca="1">IFERROR(__xludf.DUMMYFUNCTION("""COMPUTED_VALUE"""),695000)</f>
        <v>695000</v>
      </c>
    </row>
    <row r="364" spans="2:9" x14ac:dyDescent="0.3">
      <c r="B364" s="130" t="str">
        <f ca="1">IFERROR(__xludf.DUMMYFUNCTION("""COMPUTED_VALUE"""),"круг")</f>
        <v>круг</v>
      </c>
      <c r="C364" s="125" t="str">
        <f ca="1">IFERROR(__xludf.DUMMYFUNCTION("""COMPUTED_VALUE"""),"09Х16Н4Б (ЭП56)")</f>
        <v>09Х16Н4Б (ЭП56)</v>
      </c>
      <c r="D364" s="131">
        <f ca="1">IFERROR(__xludf.DUMMYFUNCTION("""COMPUTED_VALUE"""),170)</f>
        <v>170</v>
      </c>
      <c r="E364" s="131"/>
      <c r="F364" s="132" t="str">
        <f ca="1">IFERROR(__xludf.DUMMYFUNCTION("""COMPUTED_VALUE"""),"ТУ 14-1-3564, ГОСТ 2590 , ТО, узк, 2гп без РТ")</f>
        <v>ТУ 14-1-3564, ГОСТ 2590 , ТО, узк, 2гп без РТ</v>
      </c>
      <c r="G364" s="133">
        <f ca="1">IFERROR(__xludf.DUMMYFUNCTION("""COMPUTED_VALUE"""),1.71099999999999)</f>
        <v>1.7109999999999901</v>
      </c>
      <c r="H364" s="133"/>
      <c r="I364" s="134">
        <f ca="1">IFERROR(__xludf.DUMMYFUNCTION("""COMPUTED_VALUE"""),695000)</f>
        <v>695000</v>
      </c>
    </row>
    <row r="365" spans="2:9" x14ac:dyDescent="0.3">
      <c r="B365" s="130" t="str">
        <f ca="1">IFERROR(__xludf.DUMMYFUNCTION("""COMPUTED_VALUE"""),"круг")</f>
        <v>круг</v>
      </c>
      <c r="C365" s="125" t="str">
        <f ca="1">IFERROR(__xludf.DUMMYFUNCTION("""COMPUTED_VALUE"""),"09Х16Н4Б (ЭП56)")</f>
        <v>09Х16Н4Б (ЭП56)</v>
      </c>
      <c r="D365" s="131">
        <f ca="1">IFERROR(__xludf.DUMMYFUNCTION("""COMPUTED_VALUE"""),170)</f>
        <v>170</v>
      </c>
      <c r="E365" s="131"/>
      <c r="F365" s="132" t="str">
        <f ca="1">IFERROR(__xludf.DUMMYFUNCTION("""COMPUTED_VALUE"""),"ТУ 14-1-3564, ГОСТ 2590 , ТО, узк, 2гп без РТ")</f>
        <v>ТУ 14-1-3564, ГОСТ 2590 , ТО, узк, 2гп без РТ</v>
      </c>
      <c r="G365" s="133">
        <f ca="1">IFERROR(__xludf.DUMMYFUNCTION("""COMPUTED_VALUE"""),4.17)</f>
        <v>4.17</v>
      </c>
      <c r="H365" s="133"/>
      <c r="I365" s="134">
        <f ca="1">IFERROR(__xludf.DUMMYFUNCTION("""COMPUTED_VALUE"""),695000)</f>
        <v>695000</v>
      </c>
    </row>
    <row r="366" spans="2:9" x14ac:dyDescent="0.3">
      <c r="B366" s="130" t="str">
        <f ca="1">IFERROR(__xludf.DUMMYFUNCTION("""COMPUTED_VALUE"""),"круг")</f>
        <v>круг</v>
      </c>
      <c r="C366" s="125" t="str">
        <f ca="1">IFERROR(__xludf.DUMMYFUNCTION("""COMPUTED_VALUE"""),"09Х16Н4Б (ЭП56)")</f>
        <v>09Х16Н4Б (ЭП56)</v>
      </c>
      <c r="D366" s="131">
        <f ca="1">IFERROR(__xludf.DUMMYFUNCTION("""COMPUTED_VALUE"""),180)</f>
        <v>180</v>
      </c>
      <c r="E366" s="131"/>
      <c r="F366" s="132" t="str">
        <f ca="1">IFERROR(__xludf.DUMMYFUNCTION("""COMPUTED_VALUE"""),"ТУ 14-1-3564, ГОСТ 2590 , ТО, узк, 2гп без РТ")</f>
        <v>ТУ 14-1-3564, ГОСТ 2590 , ТО, узк, 2гп без РТ</v>
      </c>
      <c r="G366" s="133">
        <f ca="1">IFERROR(__xludf.DUMMYFUNCTION("""COMPUTED_VALUE"""),1.672)</f>
        <v>1.6719999999999999</v>
      </c>
      <c r="H366" s="133"/>
      <c r="I366" s="134">
        <f ca="1">IFERROR(__xludf.DUMMYFUNCTION("""COMPUTED_VALUE"""),745000)</f>
        <v>745000</v>
      </c>
    </row>
    <row r="367" spans="2:9" x14ac:dyDescent="0.3">
      <c r="B367" s="130" t="str">
        <f ca="1">IFERROR(__xludf.DUMMYFUNCTION("""COMPUTED_VALUE"""),"круг")</f>
        <v>круг</v>
      </c>
      <c r="C367" s="125" t="str">
        <f ca="1">IFERROR(__xludf.DUMMYFUNCTION("""COMPUTED_VALUE"""),"09Х16Н4Б (ЭП56)")</f>
        <v>09Х16Н4Б (ЭП56)</v>
      </c>
      <c r="D367" s="131">
        <f ca="1">IFERROR(__xludf.DUMMYFUNCTION("""COMPUTED_VALUE"""),180)</f>
        <v>180</v>
      </c>
      <c r="E367" s="131"/>
      <c r="F367" s="132" t="str">
        <f ca="1">IFERROR(__xludf.DUMMYFUNCTION("""COMPUTED_VALUE"""),"ТУ 14-1-3564, ГОСТ 2590 , ТО, узк, 2гп без РТ")</f>
        <v>ТУ 14-1-3564, ГОСТ 2590 , ТО, узк, 2гп без РТ</v>
      </c>
      <c r="G367" s="133">
        <f ca="1">IFERROR(__xludf.DUMMYFUNCTION("""COMPUTED_VALUE"""),2.635)</f>
        <v>2.6349999999999998</v>
      </c>
      <c r="H367" s="133"/>
      <c r="I367" s="134">
        <f ca="1">IFERROR(__xludf.DUMMYFUNCTION("""COMPUTED_VALUE"""),745000)</f>
        <v>745000</v>
      </c>
    </row>
    <row r="368" spans="2:9" x14ac:dyDescent="0.3">
      <c r="B368" s="130" t="str">
        <f ca="1">IFERROR(__xludf.DUMMYFUNCTION("""COMPUTED_VALUE"""),"круг")</f>
        <v>круг</v>
      </c>
      <c r="C368" s="125" t="str">
        <f ca="1">IFERROR(__xludf.DUMMYFUNCTION("""COMPUTED_VALUE"""),"09Х16Н4Б (ЭП56)")</f>
        <v>09Х16Н4Б (ЭП56)</v>
      </c>
      <c r="D368" s="131">
        <f ca="1">IFERROR(__xludf.DUMMYFUNCTION("""COMPUTED_VALUE"""),190)</f>
        <v>190</v>
      </c>
      <c r="E368" s="131"/>
      <c r="F368" s="132" t="str">
        <f ca="1">IFERROR(__xludf.DUMMYFUNCTION("""COMPUTED_VALUE"""),"ТУ 14-1-3564, ГОСТ 2590 , ТО, узк, 2гп без РТ")</f>
        <v>ТУ 14-1-3564, ГОСТ 2590 , ТО, узк, 2гп без РТ</v>
      </c>
      <c r="G368" s="133">
        <f ca="1">IFERROR(__xludf.DUMMYFUNCTION("""COMPUTED_VALUE"""),0.451)</f>
        <v>0.45100000000000001</v>
      </c>
      <c r="H368" s="133"/>
      <c r="I368" s="134">
        <f ca="1">IFERROR(__xludf.DUMMYFUNCTION("""COMPUTED_VALUE"""),695000)</f>
        <v>695000</v>
      </c>
    </row>
    <row r="369" spans="2:9" x14ac:dyDescent="0.3">
      <c r="B369" s="130" t="str">
        <f ca="1">IFERROR(__xludf.DUMMYFUNCTION("""COMPUTED_VALUE"""),"круг")</f>
        <v>круг</v>
      </c>
      <c r="C369" s="125" t="str">
        <f ca="1">IFERROR(__xludf.DUMMYFUNCTION("""COMPUTED_VALUE"""),"09Х16Н4Б (ЭП56)")</f>
        <v>09Х16Н4Б (ЭП56)</v>
      </c>
      <c r="D369" s="131">
        <f ca="1">IFERROR(__xludf.DUMMYFUNCTION("""COMPUTED_VALUE"""),190)</f>
        <v>190</v>
      </c>
      <c r="E369" s="131"/>
      <c r="F369" s="132" t="str">
        <f ca="1">IFERROR(__xludf.DUMMYFUNCTION("""COMPUTED_VALUE"""),"ту14-1-3564, РТТ, УЗК,2ГП, ")</f>
        <v xml:space="preserve">ту14-1-3564, РТТ, УЗК,2ГП, </v>
      </c>
      <c r="G369" s="133">
        <f ca="1">IFERROR(__xludf.DUMMYFUNCTION("""COMPUTED_VALUE"""),0.815)</f>
        <v>0.81499999999999995</v>
      </c>
      <c r="H369" s="133"/>
      <c r="I369" s="134">
        <f ca="1">IFERROR(__xludf.DUMMYFUNCTION("""COMPUTED_VALUE"""),680000)</f>
        <v>680000</v>
      </c>
    </row>
    <row r="370" spans="2:9" x14ac:dyDescent="0.3">
      <c r="B370" s="130" t="str">
        <f ca="1">IFERROR(__xludf.DUMMYFUNCTION("""COMPUTED_VALUE"""),"круг")</f>
        <v>круг</v>
      </c>
      <c r="C370" s="125" t="str">
        <f ca="1">IFERROR(__xludf.DUMMYFUNCTION("""COMPUTED_VALUE"""),"09Х16Н4Б (ЭП56)")</f>
        <v>09Х16Н4Б (ЭП56)</v>
      </c>
      <c r="D370" s="131">
        <f ca="1">IFERROR(__xludf.DUMMYFUNCTION("""COMPUTED_VALUE"""),190)</f>
        <v>190</v>
      </c>
      <c r="E370" s="131"/>
      <c r="F370" s="132" t="str">
        <f ca="1">IFERROR(__xludf.DUMMYFUNCTION("""COMPUTED_VALUE"""),"ту14-1-3564, РТТ, УЗК,2ГП, ")</f>
        <v xml:space="preserve">ту14-1-3564, РТТ, УЗК,2ГП, </v>
      </c>
      <c r="G370" s="133">
        <f ca="1">IFERROR(__xludf.DUMMYFUNCTION("""COMPUTED_VALUE"""),0.825)</f>
        <v>0.82499999999999996</v>
      </c>
      <c r="H370" s="133"/>
      <c r="I370" s="134">
        <f ca="1">IFERROR(__xludf.DUMMYFUNCTION("""COMPUTED_VALUE"""),680000)</f>
        <v>680000</v>
      </c>
    </row>
    <row r="371" spans="2:9" x14ac:dyDescent="0.3">
      <c r="B371" s="130" t="str">
        <f ca="1">IFERROR(__xludf.DUMMYFUNCTION("""COMPUTED_VALUE"""),"круг")</f>
        <v>круг</v>
      </c>
      <c r="C371" s="125" t="str">
        <f ca="1">IFERROR(__xludf.DUMMYFUNCTION("""COMPUTED_VALUE"""),"09Х16Н4Б (ЭП56)")</f>
        <v>09Х16Н4Б (ЭП56)</v>
      </c>
      <c r="D371" s="131">
        <f ca="1">IFERROR(__xludf.DUMMYFUNCTION("""COMPUTED_VALUE"""),190)</f>
        <v>190</v>
      </c>
      <c r="E371" s="131"/>
      <c r="F371" s="132" t="str">
        <f ca="1">IFERROR(__xludf.DUMMYFUNCTION("""COMPUTED_VALUE"""),"ту14-1-3564, РТТ, УЗК,2ГП, ")</f>
        <v xml:space="preserve">ту14-1-3564, РТТ, УЗК,2ГП, </v>
      </c>
      <c r="G371" s="133">
        <f ca="1">IFERROR(__xludf.DUMMYFUNCTION("""COMPUTED_VALUE"""),1.645)</f>
        <v>1.645</v>
      </c>
      <c r="H371" s="133"/>
      <c r="I371" s="134">
        <f ca="1">IFERROR(__xludf.DUMMYFUNCTION("""COMPUTED_VALUE"""),680000)</f>
        <v>680000</v>
      </c>
    </row>
    <row r="372" spans="2:9" x14ac:dyDescent="0.3">
      <c r="B372" s="130" t="str">
        <f ca="1">IFERROR(__xludf.DUMMYFUNCTION("""COMPUTED_VALUE"""),"круг")</f>
        <v>круг</v>
      </c>
      <c r="C372" s="125" t="str">
        <f ca="1">IFERROR(__xludf.DUMMYFUNCTION("""COMPUTED_VALUE"""),"09Х16Н4Б (ЭП56)")</f>
        <v>09Х16Н4Б (ЭП56)</v>
      </c>
      <c r="D372" s="131">
        <f ca="1">IFERROR(__xludf.DUMMYFUNCTION("""COMPUTED_VALUE"""),200)</f>
        <v>200</v>
      </c>
      <c r="E372" s="131"/>
      <c r="F372" s="132" t="str">
        <f ca="1">IFERROR(__xludf.DUMMYFUNCTION("""COMPUTED_VALUE"""),"ту14-1-3564, РТТ, УЗК,2ГП, ")</f>
        <v xml:space="preserve">ту14-1-3564, РТТ, УЗК,2ГП, </v>
      </c>
      <c r="G372" s="133">
        <f ca="1">IFERROR(__xludf.DUMMYFUNCTION("""COMPUTED_VALUE"""),1.027)</f>
        <v>1.0269999999999999</v>
      </c>
      <c r="H372" s="133"/>
      <c r="I372" s="134">
        <f ca="1">IFERROR(__xludf.DUMMYFUNCTION("""COMPUTED_VALUE"""),650000)</f>
        <v>650000</v>
      </c>
    </row>
    <row r="373" spans="2:9" x14ac:dyDescent="0.3">
      <c r="B373" s="130" t="str">
        <f ca="1">IFERROR(__xludf.DUMMYFUNCTION("""COMPUTED_VALUE"""),"круг")</f>
        <v>круг</v>
      </c>
      <c r="C373" s="125" t="str">
        <f ca="1">IFERROR(__xludf.DUMMYFUNCTION("""COMPUTED_VALUE"""),"09Х16Н4Б (ЭП56)")</f>
        <v>09Х16Н4Б (ЭП56)</v>
      </c>
      <c r="D373" s="131">
        <f ca="1">IFERROR(__xludf.DUMMYFUNCTION("""COMPUTED_VALUE"""),200)</f>
        <v>200</v>
      </c>
      <c r="E373" s="131"/>
      <c r="F373" s="132" t="str">
        <f ca="1">IFERROR(__xludf.DUMMYFUNCTION("""COMPUTED_VALUE"""),"ту14-1-3564, РТТ, УЗК,2ГП, ")</f>
        <v xml:space="preserve">ту14-1-3564, РТТ, УЗК,2ГП, </v>
      </c>
      <c r="G373" s="133">
        <f ca="1">IFERROR(__xludf.DUMMYFUNCTION("""COMPUTED_VALUE"""),1.065)</f>
        <v>1.0649999999999999</v>
      </c>
      <c r="H373" s="133"/>
      <c r="I373" s="134">
        <f ca="1">IFERROR(__xludf.DUMMYFUNCTION("""COMPUTED_VALUE"""),650000)</f>
        <v>650000</v>
      </c>
    </row>
    <row r="374" spans="2:9" x14ac:dyDescent="0.3">
      <c r="B374" s="130" t="str">
        <f ca="1">IFERROR(__xludf.DUMMYFUNCTION("""COMPUTED_VALUE"""),"круг")</f>
        <v>круг</v>
      </c>
      <c r="C374" s="125" t="str">
        <f ca="1">IFERROR(__xludf.DUMMYFUNCTION("""COMPUTED_VALUE"""),"09Х16Н4Б (ЭП56)")</f>
        <v>09Х16Н4Б (ЭП56)</v>
      </c>
      <c r="D374" s="131">
        <f ca="1">IFERROR(__xludf.DUMMYFUNCTION("""COMPUTED_VALUE"""),200)</f>
        <v>200</v>
      </c>
      <c r="E374" s="131"/>
      <c r="F374" s="132" t="str">
        <f ca="1">IFERROR(__xludf.DUMMYFUNCTION("""COMPUTED_VALUE"""),"ту14-1-3564, РТТ, УЗК,2ГП, ")</f>
        <v xml:space="preserve">ту14-1-3564, РТТ, УЗК,2ГП, </v>
      </c>
      <c r="G374" s="133">
        <f ca="1">IFERROR(__xludf.DUMMYFUNCTION("""COMPUTED_VALUE"""),1.07)</f>
        <v>1.07</v>
      </c>
      <c r="H374" s="133"/>
      <c r="I374" s="134">
        <f ca="1">IFERROR(__xludf.DUMMYFUNCTION("""COMPUTED_VALUE"""),650000)</f>
        <v>650000</v>
      </c>
    </row>
    <row r="375" spans="2:9" x14ac:dyDescent="0.3">
      <c r="B375" s="130" t="str">
        <f ca="1">IFERROR(__xludf.DUMMYFUNCTION("""COMPUTED_VALUE"""),"круг")</f>
        <v>круг</v>
      </c>
      <c r="C375" s="125" t="str">
        <f ca="1">IFERROR(__xludf.DUMMYFUNCTION("""COMPUTED_VALUE"""),"09Х16Н4Б (ЭП56)")</f>
        <v>09Х16Н4Б (ЭП56)</v>
      </c>
      <c r="D375" s="131">
        <f ca="1">IFERROR(__xludf.DUMMYFUNCTION("""COMPUTED_VALUE"""),200)</f>
        <v>200</v>
      </c>
      <c r="E375" s="131"/>
      <c r="F375" s="132" t="str">
        <f ca="1">IFERROR(__xludf.DUMMYFUNCTION("""COMPUTED_VALUE"""),"ту14-1-3564, РТТ, УЗК,2ГП, ")</f>
        <v xml:space="preserve">ту14-1-3564, РТТ, УЗК,2ГП, </v>
      </c>
      <c r="G375" s="133">
        <f ca="1">IFERROR(__xludf.DUMMYFUNCTION("""COMPUTED_VALUE"""),1.075)</f>
        <v>1.075</v>
      </c>
      <c r="H375" s="133"/>
      <c r="I375" s="134">
        <f ca="1">IFERROR(__xludf.DUMMYFUNCTION("""COMPUTED_VALUE"""),650000)</f>
        <v>650000</v>
      </c>
    </row>
    <row r="376" spans="2:9" x14ac:dyDescent="0.3">
      <c r="B376" s="130" t="str">
        <f ca="1">IFERROR(__xludf.DUMMYFUNCTION("""COMPUTED_VALUE"""),"круг")</f>
        <v>круг</v>
      </c>
      <c r="C376" s="125" t="str">
        <f ca="1">IFERROR(__xludf.DUMMYFUNCTION("""COMPUTED_VALUE"""),"09Х16Н4Б (ЭП56)")</f>
        <v>09Х16Н4Б (ЭП56)</v>
      </c>
      <c r="D376" s="131">
        <f ca="1">IFERROR(__xludf.DUMMYFUNCTION("""COMPUTED_VALUE"""),200)</f>
        <v>200</v>
      </c>
      <c r="E376" s="131"/>
      <c r="F376" s="132" t="str">
        <f ca="1">IFERROR(__xludf.DUMMYFUNCTION("""COMPUTED_VALUE"""),"ту14-1-3564, РТТ, УЗК,2ГП, ")</f>
        <v xml:space="preserve">ту14-1-3564, РТТ, УЗК,2ГП, </v>
      </c>
      <c r="G376" s="133">
        <f ca="1">IFERROR(__xludf.DUMMYFUNCTION("""COMPUTED_VALUE"""),6.46)</f>
        <v>6.46</v>
      </c>
      <c r="H376" s="133"/>
      <c r="I376" s="134">
        <f ca="1">IFERROR(__xludf.DUMMYFUNCTION("""COMPUTED_VALUE"""),650000)</f>
        <v>650000</v>
      </c>
    </row>
    <row r="377" spans="2:9" x14ac:dyDescent="0.3">
      <c r="B377" s="130" t="str">
        <f ca="1">IFERROR(__xludf.DUMMYFUNCTION("""COMPUTED_VALUE"""),"круг")</f>
        <v>круг</v>
      </c>
      <c r="C377" s="125" t="str">
        <f ca="1">IFERROR(__xludf.DUMMYFUNCTION("""COMPUTED_VALUE"""),"09Х16Н4Б (ЭП56)")</f>
        <v>09Х16Н4Б (ЭП56)</v>
      </c>
      <c r="D377" s="131">
        <f ca="1">IFERROR(__xludf.DUMMYFUNCTION("""COMPUTED_VALUE"""),220)</f>
        <v>220</v>
      </c>
      <c r="E377" s="131"/>
      <c r="F377" s="132" t="str">
        <f ca="1">IFERROR(__xludf.DUMMYFUNCTION("""COMPUTED_VALUE"""),"ГОСТ 5632/5949 ков.ТО, узк,обточ, РТТ")</f>
        <v>ГОСТ 5632/5949 ков.ТО, узк,обточ, РТТ</v>
      </c>
      <c r="G377" s="133">
        <f ca="1">IFERROR(__xludf.DUMMYFUNCTION("""COMPUTED_VALUE"""),0.724)</f>
        <v>0.72399999999999998</v>
      </c>
      <c r="H377" s="133"/>
      <c r="I377" s="134">
        <f ca="1">IFERROR(__xludf.DUMMYFUNCTION("""COMPUTED_VALUE"""),800000)</f>
        <v>800000</v>
      </c>
    </row>
    <row r="378" spans="2:9" x14ac:dyDescent="0.3">
      <c r="B378" s="130" t="str">
        <f ca="1">IFERROR(__xludf.DUMMYFUNCTION("""COMPUTED_VALUE"""),"круг")</f>
        <v>круг</v>
      </c>
      <c r="C378" s="125" t="str">
        <f ca="1">IFERROR(__xludf.DUMMYFUNCTION("""COMPUTED_VALUE"""),"09Х16Н4Б (ЭП56)")</f>
        <v>09Х16Н4Б (ЭП56)</v>
      </c>
      <c r="D378" s="131">
        <f ca="1">IFERROR(__xludf.DUMMYFUNCTION("""COMPUTED_VALUE"""),220)</f>
        <v>220</v>
      </c>
      <c r="E378" s="131"/>
      <c r="F378" s="132" t="str">
        <f ca="1">IFERROR(__xludf.DUMMYFUNCTION("""COMPUTED_VALUE"""),"ГОСТ 5632/5949 ков.ТО, узк,обточ, РТТ")</f>
        <v>ГОСТ 5632/5949 ков.ТО, узк,обточ, РТТ</v>
      </c>
      <c r="G378" s="133">
        <f ca="1">IFERROR(__xludf.DUMMYFUNCTION("""COMPUTED_VALUE"""),1.31)</f>
        <v>1.31</v>
      </c>
      <c r="H378" s="133"/>
      <c r="I378" s="134">
        <f ca="1">IFERROR(__xludf.DUMMYFUNCTION("""COMPUTED_VALUE"""),800000)</f>
        <v>800000</v>
      </c>
    </row>
    <row r="379" spans="2:9" x14ac:dyDescent="0.3">
      <c r="B379" s="130" t="str">
        <f ca="1">IFERROR(__xludf.DUMMYFUNCTION("""COMPUTED_VALUE"""),"круг")</f>
        <v>круг</v>
      </c>
      <c r="C379" s="125" t="str">
        <f ca="1">IFERROR(__xludf.DUMMYFUNCTION("""COMPUTED_VALUE"""),"09Х16Н4Б (ЭП56)")</f>
        <v>09Х16Н4Б (ЭП56)</v>
      </c>
      <c r="D379" s="131">
        <f ca="1">IFERROR(__xludf.DUMMYFUNCTION("""COMPUTED_VALUE"""),220)</f>
        <v>220</v>
      </c>
      <c r="E379" s="131"/>
      <c r="F379" s="132" t="str">
        <f ca="1">IFERROR(__xludf.DUMMYFUNCTION("""COMPUTED_VALUE"""),"ГОСТ 5632/5949 ков.ТО, узк,обточ, РТТ")</f>
        <v>ГОСТ 5632/5949 ков.ТО, узк,обточ, РТТ</v>
      </c>
      <c r="G379" s="133">
        <f ca="1">IFERROR(__xludf.DUMMYFUNCTION("""COMPUTED_VALUE"""),1.34)</f>
        <v>1.34</v>
      </c>
      <c r="H379" s="133"/>
      <c r="I379" s="134">
        <f ca="1">IFERROR(__xludf.DUMMYFUNCTION("""COMPUTED_VALUE"""),800000)</f>
        <v>800000</v>
      </c>
    </row>
    <row r="380" spans="2:9" x14ac:dyDescent="0.3">
      <c r="B380" s="130" t="str">
        <f ca="1">IFERROR(__xludf.DUMMYFUNCTION("""COMPUTED_VALUE"""),"круг")</f>
        <v>круг</v>
      </c>
      <c r="C380" s="125" t="str">
        <f ca="1">IFERROR(__xludf.DUMMYFUNCTION("""COMPUTED_VALUE"""),"09Х16Н4Б (ЭП56)")</f>
        <v>09Х16Н4Б (ЭП56)</v>
      </c>
      <c r="D380" s="131">
        <f ca="1">IFERROR(__xludf.DUMMYFUNCTION("""COMPUTED_VALUE"""),250)</f>
        <v>250</v>
      </c>
      <c r="E380" s="131"/>
      <c r="F380" s="132" t="str">
        <f ca="1">IFERROR(__xludf.DUMMYFUNCTION("""COMPUTED_VALUE"""),"ГОСТ 5632/5949 ков.ТО, узк,обточ, РТТ")</f>
        <v>ГОСТ 5632/5949 ков.ТО, узк,обточ, РТТ</v>
      </c>
      <c r="G380" s="133">
        <f ca="1">IFERROR(__xludf.DUMMYFUNCTION("""COMPUTED_VALUE"""),0.096)</f>
        <v>9.6000000000000002E-2</v>
      </c>
      <c r="H380" s="133"/>
      <c r="I380" s="134">
        <f ca="1">IFERROR(__xludf.DUMMYFUNCTION("""COMPUTED_VALUE"""),800000)</f>
        <v>800000</v>
      </c>
    </row>
    <row r="381" spans="2:9" x14ac:dyDescent="0.3">
      <c r="B381" s="130" t="str">
        <f ca="1">IFERROR(__xludf.DUMMYFUNCTION("""COMPUTED_VALUE"""),"круг")</f>
        <v>круг</v>
      </c>
      <c r="C381" s="125" t="str">
        <f ca="1">IFERROR(__xludf.DUMMYFUNCTION("""COMPUTED_VALUE"""),"09Х16Н4Б (ЭП56)")</f>
        <v>09Х16Н4Б (ЭП56)</v>
      </c>
      <c r="D381" s="131">
        <f ca="1">IFERROR(__xludf.DUMMYFUNCTION("""COMPUTED_VALUE"""),250)</f>
        <v>250</v>
      </c>
      <c r="E381" s="131"/>
      <c r="F381" s="132" t="str">
        <f ca="1">IFERROR(__xludf.DUMMYFUNCTION("""COMPUTED_VALUE"""),"ГОСТ 5632/5949 ков.ТО, узк,обточ, РТТ")</f>
        <v>ГОСТ 5632/5949 ков.ТО, узк,обточ, РТТ</v>
      </c>
      <c r="G381" s="133">
        <f ca="1">IFERROR(__xludf.DUMMYFUNCTION("""COMPUTED_VALUE"""),0.442)</f>
        <v>0.442</v>
      </c>
      <c r="H381" s="133"/>
      <c r="I381" s="134">
        <f ca="1">IFERROR(__xludf.DUMMYFUNCTION("""COMPUTED_VALUE"""),800000)</f>
        <v>800000</v>
      </c>
    </row>
    <row r="382" spans="2:9" x14ac:dyDescent="0.3">
      <c r="B382" s="130" t="str">
        <f ca="1">IFERROR(__xludf.DUMMYFUNCTION("""COMPUTED_VALUE"""),"круг")</f>
        <v>круг</v>
      </c>
      <c r="C382" s="125" t="str">
        <f ca="1">IFERROR(__xludf.DUMMYFUNCTION("""COMPUTED_VALUE"""),"09Х16Н4Б (ЭП56)")</f>
        <v>09Х16Н4Б (ЭП56)</v>
      </c>
      <c r="D382" s="131">
        <f ca="1">IFERROR(__xludf.DUMMYFUNCTION("""COMPUTED_VALUE"""),250)</f>
        <v>250</v>
      </c>
      <c r="E382" s="131"/>
      <c r="F382" s="132" t="str">
        <f ca="1">IFERROR(__xludf.DUMMYFUNCTION("""COMPUTED_VALUE"""),"ГОСТ 5632/5949 ков.ТО, узк,обточ, РТТ")</f>
        <v>ГОСТ 5632/5949 ков.ТО, узк,обточ, РТТ</v>
      </c>
      <c r="G382" s="133">
        <f ca="1">IFERROR(__xludf.DUMMYFUNCTION("""COMPUTED_VALUE"""),0.352)</f>
        <v>0.35199999999999998</v>
      </c>
      <c r="H382" s="133"/>
      <c r="I382" s="134">
        <f ca="1">IFERROR(__xludf.DUMMYFUNCTION("""COMPUTED_VALUE"""),800000)</f>
        <v>800000</v>
      </c>
    </row>
    <row r="383" spans="2:9" x14ac:dyDescent="0.3">
      <c r="B383" s="130" t="str">
        <f ca="1">IFERROR(__xludf.DUMMYFUNCTION("""COMPUTED_VALUE"""),"круг")</f>
        <v>круг</v>
      </c>
      <c r="C383" s="125" t="str">
        <f ca="1">IFERROR(__xludf.DUMMYFUNCTION("""COMPUTED_VALUE"""),"09Х16Н4Б (ЭП56)")</f>
        <v>09Х16Н4Б (ЭП56)</v>
      </c>
      <c r="D383" s="131">
        <f ca="1">IFERROR(__xludf.DUMMYFUNCTION("""COMPUTED_VALUE"""),270)</f>
        <v>270</v>
      </c>
      <c r="E383" s="131"/>
      <c r="F383" s="132" t="str">
        <f ca="1">IFERROR(__xludf.DUMMYFUNCTION("""COMPUTED_VALUE"""),"ГОСТ 5632/5949 ков.ТО, узк,обточ, РТТ")</f>
        <v>ГОСТ 5632/5949 ков.ТО, узк,обточ, РТТ</v>
      </c>
      <c r="G383" s="133">
        <f ca="1">IFERROR(__xludf.DUMMYFUNCTION("""COMPUTED_VALUE"""),0.295999999999999)</f>
        <v>0.29599999999999899</v>
      </c>
      <c r="H383" s="133"/>
      <c r="I383" s="134">
        <f ca="1">IFERROR(__xludf.DUMMYFUNCTION("""COMPUTED_VALUE"""),800000)</f>
        <v>800000</v>
      </c>
    </row>
    <row r="384" spans="2:9" x14ac:dyDescent="0.3">
      <c r="B384" s="130" t="str">
        <f ca="1">IFERROR(__xludf.DUMMYFUNCTION("""COMPUTED_VALUE"""),"круг")</f>
        <v>круг</v>
      </c>
      <c r="C384" s="125" t="str">
        <f ca="1">IFERROR(__xludf.DUMMYFUNCTION("""COMPUTED_VALUE"""),"09Х16Н4Б (ЭП56)")</f>
        <v>09Х16Н4Б (ЭП56)</v>
      </c>
      <c r="D384" s="131">
        <f ca="1">IFERROR(__xludf.DUMMYFUNCTION("""COMPUTED_VALUE"""),270)</f>
        <v>270</v>
      </c>
      <c r="E384" s="131"/>
      <c r="F384" s="132" t="str">
        <f ca="1">IFERROR(__xludf.DUMMYFUNCTION("""COMPUTED_VALUE"""),"ГОСТ 5632/5949 ков.ТО, узк,обточ, РТТ")</f>
        <v>ГОСТ 5632/5949 ков.ТО, узк,обточ, РТТ</v>
      </c>
      <c r="G384" s="133">
        <f ca="1">IFERROR(__xludf.DUMMYFUNCTION("""COMPUTED_VALUE"""),1.41)</f>
        <v>1.41</v>
      </c>
      <c r="H384" s="133"/>
      <c r="I384" s="134">
        <f ca="1">IFERROR(__xludf.DUMMYFUNCTION("""COMPUTED_VALUE"""),800000)</f>
        <v>800000</v>
      </c>
    </row>
    <row r="385" spans="2:9" x14ac:dyDescent="0.3">
      <c r="B385" s="130" t="str">
        <f ca="1">IFERROR(__xludf.DUMMYFUNCTION("""COMPUTED_VALUE"""),"круг")</f>
        <v>круг</v>
      </c>
      <c r="C385" s="125" t="str">
        <f ca="1">IFERROR(__xludf.DUMMYFUNCTION("""COMPUTED_VALUE"""),"09Х16Н4Б (ЭП56)")</f>
        <v>09Х16Н4Б (ЭП56)</v>
      </c>
      <c r="D385" s="131">
        <f ca="1">IFERROR(__xludf.DUMMYFUNCTION("""COMPUTED_VALUE"""),280)</f>
        <v>280</v>
      </c>
      <c r="E385" s="131"/>
      <c r="F385" s="132" t="str">
        <f ca="1">IFERROR(__xludf.DUMMYFUNCTION("""COMPUTED_VALUE"""),"ГОСТ 5632/5949 ков.ТО, узк,")</f>
        <v>ГОСТ 5632/5949 ков.ТО, узк,</v>
      </c>
      <c r="G385" s="133">
        <f ca="1">IFERROR(__xludf.DUMMYFUNCTION("""COMPUTED_VALUE"""),1.193)</f>
        <v>1.1930000000000001</v>
      </c>
      <c r="H385" s="133"/>
      <c r="I385" s="134">
        <f ca="1">IFERROR(__xludf.DUMMYFUNCTION("""COMPUTED_VALUE"""),800000)</f>
        <v>800000</v>
      </c>
    </row>
    <row r="386" spans="2:9" x14ac:dyDescent="0.3">
      <c r="B386" s="130" t="str">
        <f ca="1">IFERROR(__xludf.DUMMYFUNCTION("""COMPUTED_VALUE"""),"круг")</f>
        <v>круг</v>
      </c>
      <c r="C386" s="125" t="str">
        <f ca="1">IFERROR(__xludf.DUMMYFUNCTION("""COMPUTED_VALUE"""),"09Х16Н4Б (ЭП56)")</f>
        <v>09Х16Н4Б (ЭП56)</v>
      </c>
      <c r="D386" s="131">
        <f ca="1">IFERROR(__xludf.DUMMYFUNCTION("""COMPUTED_VALUE"""),280)</f>
        <v>280</v>
      </c>
      <c r="E386" s="131"/>
      <c r="F386" s="132" t="str">
        <f ca="1">IFERROR(__xludf.DUMMYFUNCTION("""COMPUTED_VALUE"""),"ГОСТ 5632/5949 ков.ТО, узк,")</f>
        <v>ГОСТ 5632/5949 ков.ТО, узк,</v>
      </c>
      <c r="G386" s="133">
        <f ca="1">IFERROR(__xludf.DUMMYFUNCTION("""COMPUTED_VALUE"""),1.685)</f>
        <v>1.6850000000000001</v>
      </c>
      <c r="H386" s="133"/>
      <c r="I386" s="134">
        <f ca="1">IFERROR(__xludf.DUMMYFUNCTION("""COMPUTED_VALUE"""),800000)</f>
        <v>800000</v>
      </c>
    </row>
    <row r="387" spans="2:9" x14ac:dyDescent="0.3">
      <c r="B387" s="130" t="str">
        <f ca="1">IFERROR(__xludf.DUMMYFUNCTION("""COMPUTED_VALUE"""),"круг")</f>
        <v>круг</v>
      </c>
      <c r="C387" s="125" t="str">
        <f ca="1">IFERROR(__xludf.DUMMYFUNCTION("""COMPUTED_VALUE"""),"09Х16Н4Б (ЭП56)")</f>
        <v>09Х16Н4Б (ЭП56)</v>
      </c>
      <c r="D387" s="131">
        <f ca="1">IFERROR(__xludf.DUMMYFUNCTION("""COMPUTED_VALUE"""),300)</f>
        <v>300</v>
      </c>
      <c r="E387" s="131"/>
      <c r="F387" s="132" t="str">
        <f ca="1">IFERROR(__xludf.DUMMYFUNCTION("""COMPUTED_VALUE"""),"ГОСТ 5632/5949 ков.ТО, узк,обточ, РТТ")</f>
        <v>ГОСТ 5632/5949 ков.ТО, узк,обточ, РТТ</v>
      </c>
      <c r="G387" s="133">
        <f ca="1">IFERROR(__xludf.DUMMYFUNCTION("""COMPUTED_VALUE"""),1.138)</f>
        <v>1.1379999999999999</v>
      </c>
      <c r="H387" s="133"/>
      <c r="I387" s="134">
        <f ca="1">IFERROR(__xludf.DUMMYFUNCTION("""COMPUTED_VALUE"""),800000)</f>
        <v>800000</v>
      </c>
    </row>
    <row r="388" spans="2:9" x14ac:dyDescent="0.3">
      <c r="B388" s="130" t="str">
        <f ca="1">IFERROR(__xludf.DUMMYFUNCTION("""COMPUTED_VALUE"""),"круг")</f>
        <v>круг</v>
      </c>
      <c r="C388" s="125" t="str">
        <f ca="1">IFERROR(__xludf.DUMMYFUNCTION("""COMPUTED_VALUE"""),"09Х16Н4Б (ЭП56)")</f>
        <v>09Х16Н4Б (ЭП56)</v>
      </c>
      <c r="D388" s="131">
        <f ca="1">IFERROR(__xludf.DUMMYFUNCTION("""COMPUTED_VALUE"""),300)</f>
        <v>300</v>
      </c>
      <c r="E388" s="131"/>
      <c r="F388" s="132" t="str">
        <f ca="1">IFERROR(__xludf.DUMMYFUNCTION("""COMPUTED_VALUE"""),"ГОСТ 5632/5949 ков.ТО, узк,обточ, РТТ")</f>
        <v>ГОСТ 5632/5949 ков.ТО, узк,обточ, РТТ</v>
      </c>
      <c r="G388" s="133">
        <f ca="1">IFERROR(__xludf.DUMMYFUNCTION("""COMPUTED_VALUE"""),2.355)</f>
        <v>2.355</v>
      </c>
      <c r="H388" s="133"/>
      <c r="I388" s="134">
        <f ca="1">IFERROR(__xludf.DUMMYFUNCTION("""COMPUTED_VALUE"""),800000)</f>
        <v>800000</v>
      </c>
    </row>
    <row r="389" spans="2:9" x14ac:dyDescent="0.3">
      <c r="B389" s="130" t="str">
        <f ca="1">IFERROR(__xludf.DUMMYFUNCTION("""COMPUTED_VALUE"""),"круг")</f>
        <v>круг</v>
      </c>
      <c r="C389" s="125" t="str">
        <f ca="1">IFERROR(__xludf.DUMMYFUNCTION("""COMPUTED_VALUE"""),"09Х16Н4Б (ЭП56)")</f>
        <v>09Х16Н4Б (ЭП56)</v>
      </c>
      <c r="D389" s="131">
        <f ca="1">IFERROR(__xludf.DUMMYFUNCTION("""COMPUTED_VALUE"""),320)</f>
        <v>320</v>
      </c>
      <c r="E389" s="131"/>
      <c r="F389" s="132" t="str">
        <f ca="1">IFERROR(__xludf.DUMMYFUNCTION("""COMPUTED_VALUE"""),"ГОСТ 5632/5949 ков.ТО, узк,")</f>
        <v>ГОСТ 5632/5949 ков.ТО, узк,</v>
      </c>
      <c r="G389" s="133">
        <f ca="1">IFERROR(__xludf.DUMMYFUNCTION("""COMPUTED_VALUE"""),2.648)</f>
        <v>2.6480000000000001</v>
      </c>
      <c r="H389" s="133"/>
      <c r="I389" s="134">
        <f ca="1">IFERROR(__xludf.DUMMYFUNCTION("""COMPUTED_VALUE"""),880000)</f>
        <v>880000</v>
      </c>
    </row>
    <row r="390" spans="2:9" x14ac:dyDescent="0.3">
      <c r="B390" s="130" t="str">
        <f ca="1">IFERROR(__xludf.DUMMYFUNCTION("""COMPUTED_VALUE"""),"круг")</f>
        <v>круг</v>
      </c>
      <c r="C390" s="125" t="str">
        <f ca="1">IFERROR(__xludf.DUMMYFUNCTION("""COMPUTED_VALUE"""),"09Х16Н4Б (ЭП56)")</f>
        <v>09Х16Н4Б (ЭП56)</v>
      </c>
      <c r="D390" s="131">
        <f ca="1">IFERROR(__xludf.DUMMYFUNCTION("""COMPUTED_VALUE"""),350)</f>
        <v>350</v>
      </c>
      <c r="E390" s="131"/>
      <c r="F390" s="132" t="str">
        <f ca="1">IFERROR(__xludf.DUMMYFUNCTION("""COMPUTED_VALUE"""),"ГОСТ 5632/5949 ков.ТО, узк,")</f>
        <v>ГОСТ 5632/5949 ков.ТО, узк,</v>
      </c>
      <c r="G390" s="133">
        <f ca="1">IFERROR(__xludf.DUMMYFUNCTION("""COMPUTED_VALUE"""),1.46199999999999)</f>
        <v>1.46199999999999</v>
      </c>
      <c r="H390" s="133"/>
      <c r="I390" s="134">
        <f ca="1">IFERROR(__xludf.DUMMYFUNCTION("""COMPUTED_VALUE"""),880000)</f>
        <v>880000</v>
      </c>
    </row>
    <row r="391" spans="2:9" x14ac:dyDescent="0.3">
      <c r="B391" s="130" t="str">
        <f ca="1">IFERROR(__xludf.DUMMYFUNCTION("""COMPUTED_VALUE"""),"круг")</f>
        <v>круг</v>
      </c>
      <c r="C391" s="125" t="str">
        <f ca="1">IFERROR(__xludf.DUMMYFUNCTION("""COMPUTED_VALUE"""),"09Х16Н4Б (ЭП56)")</f>
        <v>09Х16Н4Б (ЭП56)</v>
      </c>
      <c r="D391" s="131">
        <f ca="1">IFERROR(__xludf.DUMMYFUNCTION("""COMPUTED_VALUE"""),380)</f>
        <v>380</v>
      </c>
      <c r="E391" s="131"/>
      <c r="F391" s="132" t="str">
        <f ca="1">IFERROR(__xludf.DUMMYFUNCTION("""COMPUTED_VALUE"""),"ГОСТ 5632/5949 ков.ТО, узк,")</f>
        <v>ГОСТ 5632/5949 ков.ТО, узк,</v>
      </c>
      <c r="G391" s="133">
        <f ca="1">IFERROR(__xludf.DUMMYFUNCTION("""COMPUTED_VALUE"""),0.508999999999999)</f>
        <v>0.50899999999999901</v>
      </c>
      <c r="H391" s="133"/>
      <c r="I391" s="134">
        <f ca="1">IFERROR(__xludf.DUMMYFUNCTION("""COMPUTED_VALUE"""),860000)</f>
        <v>860000</v>
      </c>
    </row>
    <row r="392" spans="2:9" x14ac:dyDescent="0.3">
      <c r="B392" s="130" t="str">
        <f ca="1">IFERROR(__xludf.DUMMYFUNCTION("""COMPUTED_VALUE"""),"круг")</f>
        <v>круг</v>
      </c>
      <c r="C392" s="125" t="str">
        <f ca="1">IFERROR(__xludf.DUMMYFUNCTION("""COMPUTED_VALUE"""),"09Х16Н4Б (ЭП56)")</f>
        <v>09Х16Н4Б (ЭП56)</v>
      </c>
      <c r="D392" s="131">
        <f ca="1">IFERROR(__xludf.DUMMYFUNCTION("""COMPUTED_VALUE"""),380)</f>
        <v>380</v>
      </c>
      <c r="E392" s="131"/>
      <c r="F392" s="132" t="str">
        <f ca="1">IFERROR(__xludf.DUMMYFUNCTION("""COMPUTED_VALUE"""),"ГОСТ 5632/5949 ков.ТО, узк,")</f>
        <v>ГОСТ 5632/5949 ков.ТО, узк,</v>
      </c>
      <c r="G392" s="133">
        <f ca="1">IFERROR(__xludf.DUMMYFUNCTION("""COMPUTED_VALUE"""),3.365)</f>
        <v>3.3650000000000002</v>
      </c>
      <c r="H392" s="133"/>
      <c r="I392" s="134">
        <f ca="1">IFERROR(__xludf.DUMMYFUNCTION("""COMPUTED_VALUE"""),800000)</f>
        <v>800000</v>
      </c>
    </row>
    <row r="393" spans="2:9" x14ac:dyDescent="0.3">
      <c r="B393" s="130" t="str">
        <f ca="1">IFERROR(__xludf.DUMMYFUNCTION("""COMPUTED_VALUE"""),"круг")</f>
        <v>круг</v>
      </c>
      <c r="C393" s="125" t="str">
        <f ca="1">IFERROR(__xludf.DUMMYFUNCTION("""COMPUTED_VALUE"""),"09Х16Н4Б (ЭП56)")</f>
        <v>09Х16Н4Б (ЭП56)</v>
      </c>
      <c r="D393" s="131">
        <f ca="1">IFERROR(__xludf.DUMMYFUNCTION("""COMPUTED_VALUE"""),380)</f>
        <v>380</v>
      </c>
      <c r="E393" s="131"/>
      <c r="F393" s="132" t="str">
        <f ca="1">IFERROR(__xludf.DUMMYFUNCTION("""COMPUTED_VALUE"""),"ГОСТ 5632/5949 ков.ТО, узк,")</f>
        <v>ГОСТ 5632/5949 ков.ТО, узк,</v>
      </c>
      <c r="G393" s="133">
        <f ca="1">IFERROR(__xludf.DUMMYFUNCTION("""COMPUTED_VALUE"""),1.78)</f>
        <v>1.78</v>
      </c>
      <c r="H393" s="133"/>
      <c r="I393" s="134">
        <f ca="1">IFERROR(__xludf.DUMMYFUNCTION("""COMPUTED_VALUE"""),800000)</f>
        <v>800000</v>
      </c>
    </row>
    <row r="394" spans="2:9" x14ac:dyDescent="0.3">
      <c r="B394" s="130" t="str">
        <f ca="1">IFERROR(__xludf.DUMMYFUNCTION("""COMPUTED_VALUE"""),"круг")</f>
        <v>круг</v>
      </c>
      <c r="C394" s="125" t="str">
        <f ca="1">IFERROR(__xludf.DUMMYFUNCTION("""COMPUTED_VALUE"""),"09Х16Н4Б (ЭП56)")</f>
        <v>09Х16Н4Б (ЭП56)</v>
      </c>
      <c r="D394" s="131">
        <f ca="1">IFERROR(__xludf.DUMMYFUNCTION("""COMPUTED_VALUE"""),400)</f>
        <v>400</v>
      </c>
      <c r="E394" s="131"/>
      <c r="F394" s="132" t="str">
        <f ca="1">IFERROR(__xludf.DUMMYFUNCTION("""COMPUTED_VALUE"""),"ГОСТ 5632/5949 ков.ТО, узк,")</f>
        <v>ГОСТ 5632/5949 ков.ТО, узк,</v>
      </c>
      <c r="G394" s="133">
        <f ca="1">IFERROR(__xludf.DUMMYFUNCTION("""COMPUTED_VALUE"""),0.095)</f>
        <v>9.5000000000000001E-2</v>
      </c>
      <c r="H394" s="133"/>
      <c r="I394" s="134">
        <f ca="1">IFERROR(__xludf.DUMMYFUNCTION("""COMPUTED_VALUE"""),880000)</f>
        <v>880000</v>
      </c>
    </row>
    <row r="395" spans="2:9" x14ac:dyDescent="0.3">
      <c r="B395" s="130" t="str">
        <f ca="1">IFERROR(__xludf.DUMMYFUNCTION("""COMPUTED_VALUE"""),"круг")</f>
        <v>круг</v>
      </c>
      <c r="C395" s="125" t="str">
        <f ca="1">IFERROR(__xludf.DUMMYFUNCTION("""COMPUTED_VALUE"""),"09Х16Н4Б (ЭП56)")</f>
        <v>09Х16Н4Б (ЭП56)</v>
      </c>
      <c r="D395" s="131">
        <f ca="1">IFERROR(__xludf.DUMMYFUNCTION("""COMPUTED_VALUE"""),400)</f>
        <v>400</v>
      </c>
      <c r="E395" s="131"/>
      <c r="F395" s="132" t="str">
        <f ca="1">IFERROR(__xludf.DUMMYFUNCTION("""COMPUTED_VALUE"""),"ГОСТ 5632 ков.ТО.")</f>
        <v>ГОСТ 5632 ков.ТО.</v>
      </c>
      <c r="G395" s="133">
        <f ca="1">IFERROR(__xludf.DUMMYFUNCTION("""COMPUTED_VALUE"""),0.871)</f>
        <v>0.871</v>
      </c>
      <c r="H395" s="133"/>
      <c r="I395" s="134">
        <f ca="1">IFERROR(__xludf.DUMMYFUNCTION("""COMPUTED_VALUE"""),880000)</f>
        <v>880000</v>
      </c>
    </row>
    <row r="396" spans="2:9" x14ac:dyDescent="0.3">
      <c r="B396" s="130" t="str">
        <f ca="1">IFERROR(__xludf.DUMMYFUNCTION("""COMPUTED_VALUE"""),"круг")</f>
        <v>круг</v>
      </c>
      <c r="C396" s="125" t="str">
        <f ca="1">IFERROR(__xludf.DUMMYFUNCTION("""COMPUTED_VALUE"""),"09Х16Н4Б (ЭП56)")</f>
        <v>09Х16Н4Б (ЭП56)</v>
      </c>
      <c r="D396" s="131">
        <f ca="1">IFERROR(__xludf.DUMMYFUNCTION("""COMPUTED_VALUE"""),400)</f>
        <v>400</v>
      </c>
      <c r="E396" s="131"/>
      <c r="F396" s="132" t="str">
        <f ca="1">IFERROR(__xludf.DUMMYFUNCTION("""COMPUTED_VALUE"""),"ГОСТ 5632/5949 ков.ТО, узк,")</f>
        <v>ГОСТ 5632/5949 ков.ТО, узк,</v>
      </c>
      <c r="G396" s="133">
        <f ca="1">IFERROR(__xludf.DUMMYFUNCTION("""COMPUTED_VALUE"""),3.08)</f>
        <v>3.08</v>
      </c>
      <c r="H396" s="133"/>
      <c r="I396" s="134">
        <f ca="1">IFERROR(__xludf.DUMMYFUNCTION("""COMPUTED_VALUE"""),880000)</f>
        <v>880000</v>
      </c>
    </row>
    <row r="397" spans="2:9" x14ac:dyDescent="0.3">
      <c r="B397" s="130" t="str">
        <f ca="1">IFERROR(__xludf.DUMMYFUNCTION("""COMPUTED_VALUE"""),"круг")</f>
        <v>круг</v>
      </c>
      <c r="C397" s="125" t="str">
        <f ca="1">IFERROR(__xludf.DUMMYFUNCTION("""COMPUTED_VALUE"""),"09Х16Н4Б (ЭП56)")</f>
        <v>09Х16Н4Б (ЭП56)</v>
      </c>
      <c r="D397" s="131">
        <f ca="1">IFERROR(__xludf.DUMMYFUNCTION("""COMPUTED_VALUE"""),400)</f>
        <v>400</v>
      </c>
      <c r="E397" s="131"/>
      <c r="F397" s="132" t="str">
        <f ca="1">IFERROR(__xludf.DUMMYFUNCTION("""COMPUTED_VALUE"""),"ГОСТ 5632/5949 ков.ТО")</f>
        <v>ГОСТ 5632/5949 ков.ТО</v>
      </c>
      <c r="G397" s="133">
        <f ca="1">IFERROR(__xludf.DUMMYFUNCTION("""COMPUTED_VALUE"""),2.555)</f>
        <v>2.5550000000000002</v>
      </c>
      <c r="H397" s="133"/>
      <c r="I397" s="134">
        <f ca="1">IFERROR(__xludf.DUMMYFUNCTION("""COMPUTED_VALUE"""),880000)</f>
        <v>880000</v>
      </c>
    </row>
    <row r="398" spans="2:9" x14ac:dyDescent="0.3">
      <c r="B398" s="130" t="str">
        <f ca="1">IFERROR(__xludf.DUMMYFUNCTION("""COMPUTED_VALUE"""),"круг")</f>
        <v>круг</v>
      </c>
      <c r="C398" s="125" t="str">
        <f ca="1">IFERROR(__xludf.DUMMYFUNCTION("""COMPUTED_VALUE"""),"09Х16Н4Б (ЭП56)")</f>
        <v>09Х16Н4Б (ЭП56)</v>
      </c>
      <c r="D398" s="131">
        <f ca="1">IFERROR(__xludf.DUMMYFUNCTION("""COMPUTED_VALUE"""),420)</f>
        <v>420</v>
      </c>
      <c r="E398" s="131"/>
      <c r="F398" s="132" t="str">
        <f ca="1">IFERROR(__xludf.DUMMYFUNCTION("""COMPUTED_VALUE"""),"ГОСТ 5632/5949 ков.ТО, узк,")</f>
        <v>ГОСТ 5632/5949 ков.ТО, узк,</v>
      </c>
      <c r="G398" s="133">
        <f ca="1">IFERROR(__xludf.DUMMYFUNCTION("""COMPUTED_VALUE"""),2.747)</f>
        <v>2.7469999999999999</v>
      </c>
      <c r="H398" s="133"/>
      <c r="I398" s="134">
        <f ca="1">IFERROR(__xludf.DUMMYFUNCTION("""COMPUTED_VALUE"""),860000)</f>
        <v>860000</v>
      </c>
    </row>
    <row r="399" spans="2:9" x14ac:dyDescent="0.3">
      <c r="B399" s="130" t="str">
        <f ca="1">IFERROR(__xludf.DUMMYFUNCTION("""COMPUTED_VALUE"""),"круг")</f>
        <v>круг</v>
      </c>
      <c r="C399" s="125" t="str">
        <f ca="1">IFERROR(__xludf.DUMMYFUNCTION("""COMPUTED_VALUE"""),"09Х16Н4Б (ЭП56)")</f>
        <v>09Х16Н4Б (ЭП56)</v>
      </c>
      <c r="D399" s="131">
        <f ca="1">IFERROR(__xludf.DUMMYFUNCTION("""COMPUTED_VALUE"""),450)</f>
        <v>450</v>
      </c>
      <c r="E399" s="131"/>
      <c r="F399" s="132" t="str">
        <f ca="1">IFERROR(__xludf.DUMMYFUNCTION("""COMPUTED_VALUE"""),"ГОСТ 5632/5949 ков.ТО, узк,")</f>
        <v>ГОСТ 5632/5949 ков.ТО, узк,</v>
      </c>
      <c r="G399" s="133">
        <f ca="1">IFERROR(__xludf.DUMMYFUNCTION("""COMPUTED_VALUE"""),3.29299999999999)</f>
        <v>3.2929999999999899</v>
      </c>
      <c r="H399" s="133"/>
      <c r="I399" s="134">
        <f ca="1">IFERROR(__xludf.DUMMYFUNCTION("""COMPUTED_VALUE"""),860000)</f>
        <v>860000</v>
      </c>
    </row>
    <row r="400" spans="2:9" x14ac:dyDescent="0.3">
      <c r="B400" s="130" t="str">
        <f ca="1">IFERROR(__xludf.DUMMYFUNCTION("""COMPUTED_VALUE"""),"круг")</f>
        <v>круг</v>
      </c>
      <c r="C400" s="125" t="str">
        <f ca="1">IFERROR(__xludf.DUMMYFUNCTION("""COMPUTED_VALUE"""),"09Х16Н4Б (ЭП56)")</f>
        <v>09Х16Н4Б (ЭП56)</v>
      </c>
      <c r="D400" s="131">
        <f ca="1">IFERROR(__xludf.DUMMYFUNCTION("""COMPUTED_VALUE"""),480)</f>
        <v>480</v>
      </c>
      <c r="E400" s="131"/>
      <c r="F400" s="132" t="str">
        <f ca="1">IFERROR(__xludf.DUMMYFUNCTION("""COMPUTED_VALUE"""),"ГОСТ 5632/5949 ков.ТО, узк,обточ, РТТ")</f>
        <v>ГОСТ 5632/5949 ков.ТО, узк,обточ, РТТ</v>
      </c>
      <c r="G400" s="133">
        <f ca="1">IFERROR(__xludf.DUMMYFUNCTION("""COMPUTED_VALUE"""),4.265)</f>
        <v>4.2649999999999997</v>
      </c>
      <c r="H400" s="133"/>
      <c r="I400" s="134">
        <f ca="1">IFERROR(__xludf.DUMMYFUNCTION("""COMPUTED_VALUE"""),800000)</f>
        <v>800000</v>
      </c>
    </row>
    <row r="401" spans="2:9" x14ac:dyDescent="0.3">
      <c r="B401" s="130" t="str">
        <f ca="1">IFERROR(__xludf.DUMMYFUNCTION("""COMPUTED_VALUE"""),"круг")</f>
        <v>круг</v>
      </c>
      <c r="C401" s="125" t="str">
        <f ca="1">IFERROR(__xludf.DUMMYFUNCTION("""COMPUTED_VALUE"""),"09Х16Н4Б (ЭП56)")</f>
        <v>09Х16Н4Б (ЭП56)</v>
      </c>
      <c r="D401" s="131">
        <f ca="1">IFERROR(__xludf.DUMMYFUNCTION("""COMPUTED_VALUE"""),500)</f>
        <v>500</v>
      </c>
      <c r="E401" s="131"/>
      <c r="F401" s="132" t="str">
        <f ca="1">IFERROR(__xludf.DUMMYFUNCTION("""COMPUTED_VALUE"""),"ГОСТ 5632/5949 ков.ТО, узк,")</f>
        <v>ГОСТ 5632/5949 ков.ТО, узк,</v>
      </c>
      <c r="G401" s="133">
        <f ca="1">IFERROR(__xludf.DUMMYFUNCTION("""COMPUTED_VALUE"""),0.0919999999999996)</f>
        <v>9.1999999999999596E-2</v>
      </c>
      <c r="H401" s="133"/>
      <c r="I401" s="134">
        <f ca="1">IFERROR(__xludf.DUMMYFUNCTION("""COMPUTED_VALUE"""),860000)</f>
        <v>860000</v>
      </c>
    </row>
    <row r="402" spans="2:9" x14ac:dyDescent="0.3">
      <c r="B402" s="130" t="str">
        <f ca="1">IFERROR(__xludf.DUMMYFUNCTION("""COMPUTED_VALUE"""),"круг")</f>
        <v>круг</v>
      </c>
      <c r="C402" s="125" t="str">
        <f ca="1">IFERROR(__xludf.DUMMYFUNCTION("""COMPUTED_VALUE"""),"09Х16Н4Б (ЭП56)")</f>
        <v>09Х16Н4Б (ЭП56)</v>
      </c>
      <c r="D402" s="131">
        <f ca="1">IFERROR(__xludf.DUMMYFUNCTION("""COMPUTED_VALUE"""),500)</f>
        <v>500</v>
      </c>
      <c r="E402" s="131"/>
      <c r="F402" s="132" t="str">
        <f ca="1">IFERROR(__xludf.DUMMYFUNCTION("""COMPUTED_VALUE"""),"ГОСТ 5632/5949 ков.ТО, узк,")</f>
        <v>ГОСТ 5632/5949 ков.ТО, узк,</v>
      </c>
      <c r="G402" s="133">
        <f ca="1">IFERROR(__xludf.DUMMYFUNCTION("""COMPUTED_VALUE"""),3.798)</f>
        <v>3.798</v>
      </c>
      <c r="H402" s="133"/>
      <c r="I402" s="134">
        <f ca="1">IFERROR(__xludf.DUMMYFUNCTION("""COMPUTED_VALUE"""),800000)</f>
        <v>800000</v>
      </c>
    </row>
    <row r="403" spans="2:9" x14ac:dyDescent="0.3">
      <c r="B403" s="130" t="str">
        <f ca="1">IFERROR(__xludf.DUMMYFUNCTION("""COMPUTED_VALUE"""),"лист")</f>
        <v>лист</v>
      </c>
      <c r="C403" s="125" t="str">
        <f ca="1">IFERROR(__xludf.DUMMYFUNCTION("""COMPUTED_VALUE"""),"09Х16Н4Б (ЭП56)")</f>
        <v>09Х16Н4Б (ЭП56)</v>
      </c>
      <c r="D403" s="131">
        <f ca="1">IFERROR(__xludf.DUMMYFUNCTION("""COMPUTED_VALUE"""),35)</f>
        <v>35</v>
      </c>
      <c r="E403" s="131"/>
      <c r="F403" s="132" t="str">
        <f ca="1">IFERROR(__xludf.DUMMYFUNCTION("""COMPUTED_VALUE"""),"ГОСТ 5632/5949 ков.ТО, узк,")</f>
        <v>ГОСТ 5632/5949 ков.ТО, узк,</v>
      </c>
      <c r="G403" s="133">
        <f ca="1">IFERROR(__xludf.DUMMYFUNCTION("""COMPUTED_VALUE"""),0.0539196875)</f>
        <v>5.3919687500000001E-2</v>
      </c>
      <c r="H403" s="133"/>
      <c r="I403" s="134">
        <f ca="1">IFERROR(__xludf.DUMMYFUNCTION("""COMPUTED_VALUE"""),1000000)</f>
        <v>1000000</v>
      </c>
    </row>
    <row r="404" spans="2:9" x14ac:dyDescent="0.3">
      <c r="B404" s="130" t="str">
        <f ca="1">IFERROR(__xludf.DUMMYFUNCTION("""COMPUTED_VALUE"""),"лист")</f>
        <v>лист</v>
      </c>
      <c r="C404" s="125" t="str">
        <f ca="1">IFERROR(__xludf.DUMMYFUNCTION("""COMPUTED_VALUE"""),"09Х16Н4Б (ЭП56)")</f>
        <v>09Х16Н4Б (ЭП56)</v>
      </c>
      <c r="D404" s="131">
        <f ca="1">IFERROR(__xludf.DUMMYFUNCTION("""COMPUTED_VALUE"""),45)</f>
        <v>45</v>
      </c>
      <c r="E404" s="131"/>
      <c r="F404" s="132" t="str">
        <f ca="1">IFERROR(__xludf.DUMMYFUNCTION("""COMPUTED_VALUE"""),"ГОСТ 5632/5949 ков.ТО, узк,")</f>
        <v>ГОСТ 5632/5949 ков.ТО, узк,</v>
      </c>
      <c r="G404" s="133">
        <f ca="1">IFERROR(__xludf.DUMMYFUNCTION("""COMPUTED_VALUE"""),0.0693253125)</f>
        <v>6.93253125E-2</v>
      </c>
      <c r="H404" s="133"/>
      <c r="I404" s="134">
        <f ca="1">IFERROR(__xludf.DUMMYFUNCTION("""COMPUTED_VALUE"""),1000000)</f>
        <v>1000000</v>
      </c>
    </row>
    <row r="405" spans="2:9" x14ac:dyDescent="0.3">
      <c r="B405" s="130" t="str">
        <f ca="1">IFERROR(__xludf.DUMMYFUNCTION("""COMPUTED_VALUE"""),"лист")</f>
        <v>лист</v>
      </c>
      <c r="C405" s="125" t="str">
        <f ca="1">IFERROR(__xludf.DUMMYFUNCTION("""COMPUTED_VALUE"""),"09Х16Н4Б (ЭП56)")</f>
        <v>09Х16Н4Б (ЭП56)</v>
      </c>
      <c r="D405" s="131">
        <f ca="1">IFERROR(__xludf.DUMMYFUNCTION("""COMPUTED_VALUE"""),50)</f>
        <v>50</v>
      </c>
      <c r="E405" s="131"/>
      <c r="F405" s="132" t="str">
        <f ca="1">IFERROR(__xludf.DUMMYFUNCTION("""COMPUTED_VALUE"""),"ГОСТ 5632/5949 ков.ТО, узк,")</f>
        <v>ГОСТ 5632/5949 ков.ТО, узк,</v>
      </c>
      <c r="G405" s="133">
        <f ca="1">IFERROR(__xludf.DUMMYFUNCTION("""COMPUTED_VALUE"""),0.077028125)</f>
        <v>7.7028125000000003E-2</v>
      </c>
      <c r="H405" s="133"/>
      <c r="I405" s="134">
        <f ca="1">IFERROR(__xludf.DUMMYFUNCTION("""COMPUTED_VALUE"""),1000000)</f>
        <v>1000000</v>
      </c>
    </row>
    <row r="406" spans="2:9" x14ac:dyDescent="0.3">
      <c r="B406" s="130" t="str">
        <f ca="1">IFERROR(__xludf.DUMMYFUNCTION("""COMPUTED_VALUE"""),"лист")</f>
        <v>лист</v>
      </c>
      <c r="C406" s="125" t="str">
        <f ca="1">IFERROR(__xludf.DUMMYFUNCTION("""COMPUTED_VALUE"""),"09Х16Н4Б (ЭП56)")</f>
        <v>09Х16Н4Б (ЭП56)</v>
      </c>
      <c r="D406" s="131">
        <f ca="1">IFERROR(__xludf.DUMMYFUNCTION("""COMPUTED_VALUE"""),60)</f>
        <v>60</v>
      </c>
      <c r="E406" s="131"/>
      <c r="F406" s="132" t="str">
        <f ca="1">IFERROR(__xludf.DUMMYFUNCTION("""COMPUTED_VALUE"""),"ГОСТ 5632/5949 ков.ТО, узк,")</f>
        <v>ГОСТ 5632/5949 ков.ТО, узк,</v>
      </c>
      <c r="G406" s="133">
        <f ca="1">IFERROR(__xludf.DUMMYFUNCTION("""COMPUTED_VALUE"""),0.09243375)</f>
        <v>9.2433749999999995E-2</v>
      </c>
      <c r="H406" s="133"/>
      <c r="I406" s="134">
        <f ca="1">IFERROR(__xludf.DUMMYFUNCTION("""COMPUTED_VALUE"""),1000000)</f>
        <v>1000000</v>
      </c>
    </row>
    <row r="407" spans="2:9" x14ac:dyDescent="0.3">
      <c r="B407" s="130" t="str">
        <f ca="1">IFERROR(__xludf.DUMMYFUNCTION("""COMPUTED_VALUE"""),"лист")</f>
        <v>лист</v>
      </c>
      <c r="C407" s="125" t="str">
        <f ca="1">IFERROR(__xludf.DUMMYFUNCTION("""COMPUTED_VALUE"""),"09Х16Н4Б (ЭП56)")</f>
        <v>09Х16Н4Б (ЭП56)</v>
      </c>
      <c r="D407" s="131">
        <f ca="1">IFERROR(__xludf.DUMMYFUNCTION("""COMPUTED_VALUE"""),75)</f>
        <v>75</v>
      </c>
      <c r="E407" s="131"/>
      <c r="F407" s="132" t="str">
        <f ca="1">IFERROR(__xludf.DUMMYFUNCTION("""COMPUTED_VALUE"""),"ГОСТ 5632/5949 ков.ТО, узк,")</f>
        <v>ГОСТ 5632/5949 ков.ТО, узк,</v>
      </c>
      <c r="G407" s="133">
        <f ca="1">IFERROR(__xludf.DUMMYFUNCTION("""COMPUTED_VALUE"""),0.1155421875)</f>
        <v>0.1155421875</v>
      </c>
      <c r="H407" s="133"/>
      <c r="I407" s="134">
        <f ca="1">IFERROR(__xludf.DUMMYFUNCTION("""COMPUTED_VALUE"""),1000000)</f>
        <v>1000000</v>
      </c>
    </row>
    <row r="408" spans="2:9" x14ac:dyDescent="0.3">
      <c r="B408" s="130" t="str">
        <f ca="1">IFERROR(__xludf.DUMMYFUNCTION("""COMPUTED_VALUE"""),"лист")</f>
        <v>лист</v>
      </c>
      <c r="C408" s="125" t="str">
        <f ca="1">IFERROR(__xludf.DUMMYFUNCTION("""COMPUTED_VALUE"""),"09Х16Н4Б (ЭП56)")</f>
        <v>09Х16Н4Б (ЭП56)</v>
      </c>
      <c r="D408" s="131">
        <f ca="1">IFERROR(__xludf.DUMMYFUNCTION("""COMPUTED_VALUE"""),90)</f>
        <v>90</v>
      </c>
      <c r="E408" s="131"/>
      <c r="F408" s="132" t="str">
        <f ca="1">IFERROR(__xludf.DUMMYFUNCTION("""COMPUTED_VALUE"""),"ГОСТ 5632/5949 ков.ТО, узк,")</f>
        <v>ГОСТ 5632/5949 ков.ТО, узк,</v>
      </c>
      <c r="G408" s="133">
        <f ca="1">IFERROR(__xludf.DUMMYFUNCTION("""COMPUTED_VALUE"""),0.138650625)</f>
        <v>0.138650625</v>
      </c>
      <c r="H408" s="133"/>
      <c r="I408" s="134">
        <f ca="1">IFERROR(__xludf.DUMMYFUNCTION("""COMPUTED_VALUE"""),1000000)</f>
        <v>1000000</v>
      </c>
    </row>
    <row r="409" spans="2:9" x14ac:dyDescent="0.3">
      <c r="B409" s="130" t="str">
        <f ca="1">IFERROR(__xludf.DUMMYFUNCTION("""COMPUTED_VALUE"""),"лист")</f>
        <v>лист</v>
      </c>
      <c r="C409" s="125" t="str">
        <f ca="1">IFERROR(__xludf.DUMMYFUNCTION("""COMPUTED_VALUE"""),"09Х16Н4Б (ЭП56)")</f>
        <v>09Х16Н4Б (ЭП56)</v>
      </c>
      <c r="D409" s="131">
        <f ca="1">IFERROR(__xludf.DUMMYFUNCTION("""COMPUTED_VALUE"""),100)</f>
        <v>100</v>
      </c>
      <c r="E409" s="131"/>
      <c r="F409" s="132" t="str">
        <f ca="1">IFERROR(__xludf.DUMMYFUNCTION("""COMPUTED_VALUE"""),"ГОСТ 5632/5949 ков.ТО, узк,")</f>
        <v>ГОСТ 5632/5949 ков.ТО, узк,</v>
      </c>
      <c r="G409" s="133">
        <f ca="1">IFERROR(__xludf.DUMMYFUNCTION("""COMPUTED_VALUE"""),0.15405625)</f>
        <v>0.15405625000000001</v>
      </c>
      <c r="H409" s="133"/>
      <c r="I409" s="134">
        <f ca="1">IFERROR(__xludf.DUMMYFUNCTION("""COMPUTED_VALUE"""),1000000)</f>
        <v>1000000</v>
      </c>
    </row>
    <row r="410" spans="2:9" x14ac:dyDescent="0.3">
      <c r="B410" s="130" t="str">
        <f ca="1">IFERROR(__xludf.DUMMYFUNCTION("""COMPUTED_VALUE"""),"лист")</f>
        <v>лист</v>
      </c>
      <c r="C410" s="125" t="str">
        <f ca="1">IFERROR(__xludf.DUMMYFUNCTION("""COMPUTED_VALUE"""),"09Х16Н4Б (ЭП56)")</f>
        <v>09Х16Н4Б (ЭП56)</v>
      </c>
      <c r="D410" s="131">
        <f ca="1">IFERROR(__xludf.DUMMYFUNCTION("""COMPUTED_VALUE"""),120)</f>
        <v>120</v>
      </c>
      <c r="E410" s="131"/>
      <c r="F410" s="132" t="str">
        <f ca="1">IFERROR(__xludf.DUMMYFUNCTION("""COMPUTED_VALUE"""),"ГОСТ 5632/5949 ков.ТО, узк,")</f>
        <v>ГОСТ 5632/5949 ков.ТО, узк,</v>
      </c>
      <c r="G410" s="133">
        <f ca="1">IFERROR(__xludf.DUMMYFUNCTION("""COMPUTED_VALUE"""),0.1848675)</f>
        <v>0.18486749999999999</v>
      </c>
      <c r="H410" s="133"/>
      <c r="I410" s="134">
        <f ca="1">IFERROR(__xludf.DUMMYFUNCTION("""COMPUTED_VALUE"""),1000000)</f>
        <v>1000000</v>
      </c>
    </row>
    <row r="411" spans="2:9" x14ac:dyDescent="0.3">
      <c r="B411" s="130" t="str">
        <f ca="1">IFERROR(__xludf.DUMMYFUNCTION("""COMPUTED_VALUE"""),"лист")</f>
        <v>лист</v>
      </c>
      <c r="C411" s="125" t="str">
        <f ca="1">IFERROR(__xludf.DUMMYFUNCTION("""COMPUTED_VALUE"""),"09Х16Н4Б (ЭП56)")</f>
        <v>09Х16Н4Б (ЭП56)</v>
      </c>
      <c r="D411" s="131">
        <f ca="1">IFERROR(__xludf.DUMMYFUNCTION("""COMPUTED_VALUE"""),150)</f>
        <v>150</v>
      </c>
      <c r="E411" s="131"/>
      <c r="F411" s="132" t="str">
        <f ca="1">IFERROR(__xludf.DUMMYFUNCTION("""COMPUTED_VALUE"""),"ГОСТ 5632/5949 ков.ТО, узк,")</f>
        <v>ГОСТ 5632/5949 ков.ТО, узк,</v>
      </c>
      <c r="G411" s="133">
        <f ca="1">IFERROR(__xludf.DUMMYFUNCTION("""COMPUTED_VALUE"""),0.231084375)</f>
        <v>0.23108437500000001</v>
      </c>
      <c r="H411" s="133"/>
      <c r="I411" s="134">
        <f ca="1">IFERROR(__xludf.DUMMYFUNCTION("""COMPUTED_VALUE"""),1000000)</f>
        <v>1000000</v>
      </c>
    </row>
    <row r="412" spans="2:9" x14ac:dyDescent="0.3">
      <c r="B412" s="130" t="str">
        <f ca="1">IFERROR(__xludf.DUMMYFUNCTION("""COMPUTED_VALUE"""),"круг")</f>
        <v>круг</v>
      </c>
      <c r="C412" s="125" t="str">
        <f ca="1">IFERROR(__xludf.DUMMYFUNCTION("""COMPUTED_VALUE"""),"10Х17Н13М2Т")</f>
        <v>10Х17Н13М2Т</v>
      </c>
      <c r="D412" s="131">
        <f ca="1">IFERROR(__xludf.DUMMYFUNCTION("""COMPUTED_VALUE"""),20)</f>
        <v>20</v>
      </c>
      <c r="E412" s="131"/>
      <c r="F412" s="132" t="str">
        <f ca="1">IFERROR(__xludf.DUMMYFUNCTION("""COMPUTED_VALUE"""),"гост 5949/2590 без обточки")</f>
        <v>гост 5949/2590 без обточки</v>
      </c>
      <c r="G412" s="133">
        <f ca="1">IFERROR(__xludf.DUMMYFUNCTION("""COMPUTED_VALUE"""),0.103999999999999)</f>
        <v>0.103999999999999</v>
      </c>
      <c r="H412" s="133"/>
      <c r="I412" s="134">
        <f ca="1">IFERROR(__xludf.DUMMYFUNCTION("""COMPUTED_VALUE"""),1000000)</f>
        <v>1000000</v>
      </c>
    </row>
    <row r="413" spans="2:9" x14ac:dyDescent="0.3">
      <c r="B413" s="130" t="str">
        <f ca="1">IFERROR(__xludf.DUMMYFUNCTION("""COMPUTED_VALUE"""),"круг ")</f>
        <v xml:space="preserve">круг </v>
      </c>
      <c r="C413" s="125" t="str">
        <f ca="1">IFERROR(__xludf.DUMMYFUNCTION("""COMPUTED_VALUE"""),"10х17Н13М2Т (ЭИ448)")</f>
        <v>10х17Н13М2Т (ЭИ448)</v>
      </c>
      <c r="D413" s="131">
        <f ca="1">IFERROR(__xludf.DUMMYFUNCTION("""COMPUTED_VALUE"""),20)</f>
        <v>20</v>
      </c>
      <c r="E413" s="131"/>
      <c r="F413" s="132" t="str">
        <f ca="1">IFERROR(__xludf.DUMMYFUNCTION("""COMPUTED_VALUE"""),"без сертификата ")</f>
        <v xml:space="preserve">без сертификата </v>
      </c>
      <c r="G413" s="133">
        <f ca="1">IFERROR(__xludf.DUMMYFUNCTION("""COMPUTED_VALUE"""),0.015)</f>
        <v>1.4999999999999999E-2</v>
      </c>
      <c r="H413" s="133"/>
      <c r="I413" s="134">
        <f ca="1">IFERROR(__xludf.DUMMYFUNCTION("""COMPUTED_VALUE"""),500000)</f>
        <v>500000</v>
      </c>
    </row>
    <row r="414" spans="2:9" x14ac:dyDescent="0.3">
      <c r="B414" s="130" t="str">
        <f ca="1">IFERROR(__xludf.DUMMYFUNCTION("""COMPUTED_VALUE"""),"круг")</f>
        <v>круг</v>
      </c>
      <c r="C414" s="125" t="str">
        <f ca="1">IFERROR(__xludf.DUMMYFUNCTION("""COMPUTED_VALUE"""),"10Х17Н13М2Т")</f>
        <v>10Х17Н13М2Т</v>
      </c>
      <c r="D414" s="131">
        <f ca="1">IFERROR(__xludf.DUMMYFUNCTION("""COMPUTED_VALUE"""),20)</f>
        <v>20</v>
      </c>
      <c r="E414" s="131"/>
      <c r="F414" s="132" t="str">
        <f ca="1">IFERROR(__xludf.DUMMYFUNCTION("""COMPUTED_VALUE"""),"гост 5949/2590 узк")</f>
        <v>гост 5949/2590 узк</v>
      </c>
      <c r="G414" s="133">
        <f ca="1">IFERROR(__xludf.DUMMYFUNCTION("""COMPUTED_VALUE"""),0.258)</f>
        <v>0.25800000000000001</v>
      </c>
      <c r="H414" s="133"/>
      <c r="I414" s="134">
        <f ca="1">IFERROR(__xludf.DUMMYFUNCTION("""COMPUTED_VALUE"""),1000000)</f>
        <v>1000000</v>
      </c>
    </row>
    <row r="415" spans="2:9" x14ac:dyDescent="0.3">
      <c r="B415" s="130" t="str">
        <f ca="1">IFERROR(__xludf.DUMMYFUNCTION("""COMPUTED_VALUE"""),"круг")</f>
        <v>круг</v>
      </c>
      <c r="C415" s="125" t="str">
        <f ca="1">IFERROR(__xludf.DUMMYFUNCTION("""COMPUTED_VALUE"""),"10Х17Н13М2Т")</f>
        <v>10Х17Н13М2Т</v>
      </c>
      <c r="D415" s="131">
        <f ca="1">IFERROR(__xludf.DUMMYFUNCTION("""COMPUTED_VALUE"""),20)</f>
        <v>20</v>
      </c>
      <c r="E415" s="131"/>
      <c r="F415" s="132" t="str">
        <f ca="1">IFERROR(__xludf.DUMMYFUNCTION("""COMPUTED_VALUE"""),"гост 5949/2590 узк")</f>
        <v>гост 5949/2590 узк</v>
      </c>
      <c r="G415" s="133">
        <f ca="1">IFERROR(__xludf.DUMMYFUNCTION("""COMPUTED_VALUE"""),0.658)</f>
        <v>0.65800000000000003</v>
      </c>
      <c r="H415" s="133"/>
      <c r="I415" s="134">
        <f ca="1">IFERROR(__xludf.DUMMYFUNCTION("""COMPUTED_VALUE"""),1000000)</f>
        <v>1000000</v>
      </c>
    </row>
    <row r="416" spans="2:9" x14ac:dyDescent="0.3">
      <c r="B416" s="130" t="str">
        <f ca="1">IFERROR(__xludf.DUMMYFUNCTION("""COMPUTED_VALUE"""),"круг")</f>
        <v>круг</v>
      </c>
      <c r="C416" s="125" t="str">
        <f ca="1">IFERROR(__xludf.DUMMYFUNCTION("""COMPUTED_VALUE"""),"10Х17Н13М2Т")</f>
        <v>10Х17Н13М2Т</v>
      </c>
      <c r="D416" s="131">
        <f ca="1">IFERROR(__xludf.DUMMYFUNCTION("""COMPUTED_VALUE"""),25)</f>
        <v>25</v>
      </c>
      <c r="E416" s="131"/>
      <c r="F416" s="132"/>
      <c r="G416" s="133">
        <f ca="1">IFERROR(__xludf.DUMMYFUNCTION("""COMPUTED_VALUE"""),0.182)</f>
        <v>0.182</v>
      </c>
      <c r="H416" s="133"/>
      <c r="I416" s="134">
        <f ca="1">IFERROR(__xludf.DUMMYFUNCTION("""COMPUTED_VALUE"""),1000000)</f>
        <v>1000000</v>
      </c>
    </row>
    <row r="417" spans="2:9" x14ac:dyDescent="0.3">
      <c r="B417" s="130" t="str">
        <f ca="1">IFERROR(__xludf.DUMMYFUNCTION("""COMPUTED_VALUE"""),"круг")</f>
        <v>круг</v>
      </c>
      <c r="C417" s="125" t="str">
        <f ca="1">IFERROR(__xludf.DUMMYFUNCTION("""COMPUTED_VALUE"""),"10Х17Н13М2Т")</f>
        <v>10Х17Н13М2Т</v>
      </c>
      <c r="D417" s="131">
        <f ca="1">IFERROR(__xludf.DUMMYFUNCTION("""COMPUTED_VALUE"""),25)</f>
        <v>25</v>
      </c>
      <c r="E417" s="131"/>
      <c r="F417" s="132" t="str">
        <f ca="1">IFERROR(__xludf.DUMMYFUNCTION("""COMPUTED_VALUE"""),"гост 5949/2590 узк")</f>
        <v>гост 5949/2590 узк</v>
      </c>
      <c r="G417" s="133">
        <f ca="1">IFERROR(__xludf.DUMMYFUNCTION("""COMPUTED_VALUE"""),1.016)</f>
        <v>1.016</v>
      </c>
      <c r="H417" s="133"/>
      <c r="I417" s="134">
        <f ca="1">IFERROR(__xludf.DUMMYFUNCTION("""COMPUTED_VALUE"""),1000000)</f>
        <v>1000000</v>
      </c>
    </row>
    <row r="418" spans="2:9" x14ac:dyDescent="0.3">
      <c r="B418" s="130" t="str">
        <f ca="1">IFERROR(__xludf.DUMMYFUNCTION("""COMPUTED_VALUE"""),"круг")</f>
        <v>круг</v>
      </c>
      <c r="C418" s="125" t="str">
        <f ca="1">IFERROR(__xludf.DUMMYFUNCTION("""COMPUTED_VALUE"""),"10Х17Н13М2Т")</f>
        <v>10Х17Н13М2Т</v>
      </c>
      <c r="D418" s="131">
        <f ca="1">IFERROR(__xludf.DUMMYFUNCTION("""COMPUTED_VALUE"""),30)</f>
        <v>30</v>
      </c>
      <c r="E418" s="131"/>
      <c r="F418" s="132" t="str">
        <f ca="1">IFERROR(__xludf.DUMMYFUNCTION("""COMPUTED_VALUE"""),"гост 5949/2590 2гп, НД, УЗК МКК")</f>
        <v>гост 5949/2590 2гп, НД, УЗК МКК</v>
      </c>
      <c r="G418" s="133">
        <f ca="1">IFERROR(__xludf.DUMMYFUNCTION("""COMPUTED_VALUE"""),0.770999999999999)</f>
        <v>0.77099999999999902</v>
      </c>
      <c r="H418" s="133"/>
      <c r="I418" s="134">
        <f ca="1">IFERROR(__xludf.DUMMYFUNCTION("""COMPUTED_VALUE"""),880000)</f>
        <v>880000</v>
      </c>
    </row>
    <row r="419" spans="2:9" x14ac:dyDescent="0.3">
      <c r="B419" s="130" t="str">
        <f ca="1">IFERROR(__xludf.DUMMYFUNCTION("""COMPUTED_VALUE"""),"круг")</f>
        <v>круг</v>
      </c>
      <c r="C419" s="125" t="str">
        <f ca="1">IFERROR(__xludf.DUMMYFUNCTION("""COMPUTED_VALUE"""),"10Х17Н13М2Т")</f>
        <v>10Х17Н13М2Т</v>
      </c>
      <c r="D419" s="131">
        <f ca="1">IFERROR(__xludf.DUMMYFUNCTION("""COMPUTED_VALUE"""),36)</f>
        <v>36</v>
      </c>
      <c r="E419" s="131"/>
      <c r="F419" s="132" t="str">
        <f ca="1">IFERROR(__xludf.DUMMYFUNCTION("""COMPUTED_VALUE"""),"гост 5949/2590 узк")</f>
        <v>гост 5949/2590 узк</v>
      </c>
      <c r="G419" s="133">
        <f ca="1">IFERROR(__xludf.DUMMYFUNCTION("""COMPUTED_VALUE"""),0.565)</f>
        <v>0.56499999999999995</v>
      </c>
      <c r="H419" s="133"/>
      <c r="I419" s="134">
        <f ca="1">IFERROR(__xludf.DUMMYFUNCTION("""COMPUTED_VALUE"""),800000)</f>
        <v>800000</v>
      </c>
    </row>
    <row r="420" spans="2:9" x14ac:dyDescent="0.3">
      <c r="B420" s="130" t="str">
        <f ca="1">IFERROR(__xludf.DUMMYFUNCTION("""COMPUTED_VALUE"""),"круг")</f>
        <v>круг</v>
      </c>
      <c r="C420" s="125" t="str">
        <f ca="1">IFERROR(__xludf.DUMMYFUNCTION("""COMPUTED_VALUE"""),"10Х17Н13М2Т")</f>
        <v>10Х17Н13М2Т</v>
      </c>
      <c r="D420" s="131">
        <f ca="1">IFERROR(__xludf.DUMMYFUNCTION("""COMPUTED_VALUE"""),36)</f>
        <v>36</v>
      </c>
      <c r="E420" s="131"/>
      <c r="F420" s="132" t="str">
        <f ca="1">IFERROR(__xludf.DUMMYFUNCTION("""COMPUTED_VALUE""")," ")</f>
        <v xml:space="preserve"> </v>
      </c>
      <c r="G420" s="133">
        <f ca="1">IFERROR(__xludf.DUMMYFUNCTION("""COMPUTED_VALUE"""),0.618)</f>
        <v>0.61799999999999999</v>
      </c>
      <c r="H420" s="133"/>
      <c r="I420" s="134">
        <f ca="1">IFERROR(__xludf.DUMMYFUNCTION("""COMPUTED_VALUE"""),800000)</f>
        <v>800000</v>
      </c>
    </row>
    <row r="421" spans="2:9" x14ac:dyDescent="0.3">
      <c r="B421" s="130" t="str">
        <f ca="1">IFERROR(__xludf.DUMMYFUNCTION("""COMPUTED_VALUE"""),"круг")</f>
        <v>круг</v>
      </c>
      <c r="C421" s="125" t="str">
        <f ca="1">IFERROR(__xludf.DUMMYFUNCTION("""COMPUTED_VALUE"""),"10Х17Н13М2Т")</f>
        <v>10Х17Н13М2Т</v>
      </c>
      <c r="D421" s="131">
        <f ca="1">IFERROR(__xludf.DUMMYFUNCTION("""COMPUTED_VALUE"""),40)</f>
        <v>40</v>
      </c>
      <c r="E421" s="131"/>
      <c r="F421" s="132" t="str">
        <f ca="1">IFERROR(__xludf.DUMMYFUNCTION("""COMPUTED_VALUE"""),"гост 5949/2590 узк")</f>
        <v>гост 5949/2590 узк</v>
      </c>
      <c r="G421" s="133">
        <f ca="1">IFERROR(__xludf.DUMMYFUNCTION("""COMPUTED_VALUE"""),0.233)</f>
        <v>0.23300000000000001</v>
      </c>
      <c r="H421" s="133"/>
      <c r="I421" s="134">
        <f ca="1">IFERROR(__xludf.DUMMYFUNCTION("""COMPUTED_VALUE"""),800000)</f>
        <v>800000</v>
      </c>
    </row>
    <row r="422" spans="2:9" x14ac:dyDescent="0.3">
      <c r="B422" s="130" t="str">
        <f ca="1">IFERROR(__xludf.DUMMYFUNCTION("""COMPUTED_VALUE"""),"круг")</f>
        <v>круг</v>
      </c>
      <c r="C422" s="125" t="str">
        <f ca="1">IFERROR(__xludf.DUMMYFUNCTION("""COMPUTED_VALUE"""),"10Х17Н13М2Т")</f>
        <v>10Х17Н13М2Т</v>
      </c>
      <c r="D422" s="131">
        <f ca="1">IFERROR(__xludf.DUMMYFUNCTION("""COMPUTED_VALUE"""),40)</f>
        <v>40</v>
      </c>
      <c r="E422" s="131"/>
      <c r="F422" s="132" t="str">
        <f ca="1">IFERROR(__xludf.DUMMYFUNCTION("""COMPUTED_VALUE"""),"гост 5949/2590 узк")</f>
        <v>гост 5949/2590 узк</v>
      </c>
      <c r="G422" s="133">
        <f ca="1">IFERROR(__xludf.DUMMYFUNCTION("""COMPUTED_VALUE"""),0.426)</f>
        <v>0.42599999999999999</v>
      </c>
      <c r="H422" s="133"/>
      <c r="I422" s="134">
        <f ca="1">IFERROR(__xludf.DUMMYFUNCTION("""COMPUTED_VALUE"""),800000)</f>
        <v>800000</v>
      </c>
    </row>
    <row r="423" spans="2:9" x14ac:dyDescent="0.3">
      <c r="B423" s="130" t="str">
        <f ca="1">IFERROR(__xludf.DUMMYFUNCTION("""COMPUTED_VALUE"""),"круг")</f>
        <v>круг</v>
      </c>
      <c r="C423" s="125" t="str">
        <f ca="1">IFERROR(__xludf.DUMMYFUNCTION("""COMPUTED_VALUE"""),"10Х17Н13М2Т")</f>
        <v>10Х17Н13М2Т</v>
      </c>
      <c r="D423" s="131">
        <f ca="1">IFERROR(__xludf.DUMMYFUNCTION("""COMPUTED_VALUE"""),40)</f>
        <v>40</v>
      </c>
      <c r="E423" s="131"/>
      <c r="F423" s="132" t="str">
        <f ca="1">IFERROR(__xludf.DUMMYFUNCTION("""COMPUTED_VALUE"""),"гост 5949/2590 узк")</f>
        <v>гост 5949/2590 узк</v>
      </c>
      <c r="G423" s="133">
        <f ca="1">IFERROR(__xludf.DUMMYFUNCTION("""COMPUTED_VALUE"""),2.188)</f>
        <v>2.1880000000000002</v>
      </c>
      <c r="H423" s="133"/>
      <c r="I423" s="134">
        <f ca="1">IFERROR(__xludf.DUMMYFUNCTION("""COMPUTED_VALUE"""),800000)</f>
        <v>800000</v>
      </c>
    </row>
    <row r="424" spans="2:9" x14ac:dyDescent="0.3">
      <c r="B424" s="130" t="str">
        <f ca="1">IFERROR(__xludf.DUMMYFUNCTION("""COMPUTED_VALUE"""),"круг")</f>
        <v>круг</v>
      </c>
      <c r="C424" s="125" t="str">
        <f ca="1">IFERROR(__xludf.DUMMYFUNCTION("""COMPUTED_VALUE"""),"10Х17Н13М2Т")</f>
        <v>10Х17Н13М2Т</v>
      </c>
      <c r="D424" s="131">
        <f ca="1">IFERROR(__xludf.DUMMYFUNCTION("""COMPUTED_VALUE"""),45)</f>
        <v>45</v>
      </c>
      <c r="E424" s="131"/>
      <c r="F424" s="132" t="str">
        <f ca="1">IFERROR(__xludf.DUMMYFUNCTION("""COMPUTED_VALUE"""),"гост 5949/2590 2гп, НД, УЗК МКК")</f>
        <v>гост 5949/2590 2гп, НД, УЗК МКК</v>
      </c>
      <c r="G424" s="133">
        <f ca="1">IFERROR(__xludf.DUMMYFUNCTION("""COMPUTED_VALUE"""),1.576)</f>
        <v>1.5760000000000001</v>
      </c>
      <c r="H424" s="133"/>
      <c r="I424" s="134">
        <f ca="1">IFERROR(__xludf.DUMMYFUNCTION("""COMPUTED_VALUE"""),880000)</f>
        <v>880000</v>
      </c>
    </row>
    <row r="425" spans="2:9" x14ac:dyDescent="0.3">
      <c r="B425" s="130" t="str">
        <f ca="1">IFERROR(__xludf.DUMMYFUNCTION("""COMPUTED_VALUE"""),"круг")</f>
        <v>круг</v>
      </c>
      <c r="C425" s="125" t="str">
        <f ca="1">IFERROR(__xludf.DUMMYFUNCTION("""COMPUTED_VALUE"""),"10Х17Н13М2Т")</f>
        <v>10Х17Н13М2Т</v>
      </c>
      <c r="D425" s="131">
        <f ca="1">IFERROR(__xludf.DUMMYFUNCTION("""COMPUTED_VALUE"""),45)</f>
        <v>45</v>
      </c>
      <c r="E425" s="131"/>
      <c r="F425" s="132" t="str">
        <f ca="1">IFERROR(__xludf.DUMMYFUNCTION("""COMPUTED_VALUE"""),"гост 5949/2590 2гп, НД, УЗК МКК")</f>
        <v>гост 5949/2590 2гп, НД, УЗК МКК</v>
      </c>
      <c r="G425" s="133">
        <f ca="1">IFERROR(__xludf.DUMMYFUNCTION("""COMPUTED_VALUE"""),0.268)</f>
        <v>0.26800000000000002</v>
      </c>
      <c r="H425" s="133"/>
      <c r="I425" s="134">
        <f ca="1">IFERROR(__xludf.DUMMYFUNCTION("""COMPUTED_VALUE"""),880000)</f>
        <v>880000</v>
      </c>
    </row>
    <row r="426" spans="2:9" x14ac:dyDescent="0.3">
      <c r="B426" s="130" t="str">
        <f ca="1">IFERROR(__xludf.DUMMYFUNCTION("""COMPUTED_VALUE"""),"круг")</f>
        <v>круг</v>
      </c>
      <c r="C426" s="125" t="str">
        <f ca="1">IFERROR(__xludf.DUMMYFUNCTION("""COMPUTED_VALUE"""),"10Х17Н13М2Т")</f>
        <v>10Х17Н13М2Т</v>
      </c>
      <c r="D426" s="131">
        <f ca="1">IFERROR(__xludf.DUMMYFUNCTION("""COMPUTED_VALUE"""),50)</f>
        <v>50</v>
      </c>
      <c r="E426" s="131"/>
      <c r="F426" s="132" t="str">
        <f ca="1">IFERROR(__xludf.DUMMYFUNCTION("""COMPUTED_VALUE"""),"гост 5949/2590 2гп")</f>
        <v>гост 5949/2590 2гп</v>
      </c>
      <c r="G426" s="133">
        <f ca="1">IFERROR(__xludf.DUMMYFUNCTION("""COMPUTED_VALUE"""),0.737)</f>
        <v>0.73699999999999999</v>
      </c>
      <c r="H426" s="133"/>
      <c r="I426" s="134">
        <f ca="1">IFERROR(__xludf.DUMMYFUNCTION("""COMPUTED_VALUE"""),880000)</f>
        <v>880000</v>
      </c>
    </row>
    <row r="427" spans="2:9" x14ac:dyDescent="0.3">
      <c r="B427" s="130" t="str">
        <f ca="1">IFERROR(__xludf.DUMMYFUNCTION("""COMPUTED_VALUE"""),"круг")</f>
        <v>круг</v>
      </c>
      <c r="C427" s="125" t="str">
        <f ca="1">IFERROR(__xludf.DUMMYFUNCTION("""COMPUTED_VALUE"""),"10Х17Н13М2Т")</f>
        <v>10Х17Н13М2Т</v>
      </c>
      <c r="D427" s="131">
        <f ca="1">IFERROR(__xludf.DUMMYFUNCTION("""COMPUTED_VALUE"""),56)</f>
        <v>56</v>
      </c>
      <c r="E427" s="131"/>
      <c r="F427" s="132" t="str">
        <f ca="1">IFERROR(__xludf.DUMMYFUNCTION("""COMPUTED_VALUE"""),"3гп, узк МКК")</f>
        <v>3гп, узк МКК</v>
      </c>
      <c r="G427" s="133">
        <f ca="1">IFERROR(__xludf.DUMMYFUNCTION("""COMPUTED_VALUE"""),0.282999999999999)</f>
        <v>0.28299999999999897</v>
      </c>
      <c r="H427" s="133"/>
      <c r="I427" s="134">
        <f ca="1">IFERROR(__xludf.DUMMYFUNCTION("""COMPUTED_VALUE"""),790000)</f>
        <v>790000</v>
      </c>
    </row>
    <row r="428" spans="2:9" x14ac:dyDescent="0.3">
      <c r="B428" s="130" t="str">
        <f ca="1">IFERROR(__xludf.DUMMYFUNCTION("""COMPUTED_VALUE"""),"круг")</f>
        <v>круг</v>
      </c>
      <c r="C428" s="125" t="str">
        <f ca="1">IFERROR(__xludf.DUMMYFUNCTION("""COMPUTED_VALUE"""),"10Х17Н13М2Т")</f>
        <v>10Х17Н13М2Т</v>
      </c>
      <c r="D428" s="131">
        <f ca="1">IFERROR(__xludf.DUMMYFUNCTION("""COMPUTED_VALUE"""),60)</f>
        <v>60</v>
      </c>
      <c r="E428" s="131"/>
      <c r="F428" s="132" t="str">
        <f ca="1">IFERROR(__xludf.DUMMYFUNCTION("""COMPUTED_VALUE"""),"гост 5949/2590 без обточки")</f>
        <v>гост 5949/2590 без обточки</v>
      </c>
      <c r="G428" s="133">
        <f ca="1">IFERROR(__xludf.DUMMYFUNCTION("""COMPUTED_VALUE"""),0.848)</f>
        <v>0.84799999999999998</v>
      </c>
      <c r="H428" s="133"/>
      <c r="I428" s="134">
        <f ca="1">IFERROR(__xludf.DUMMYFUNCTION("""COMPUTED_VALUE"""),925000)</f>
        <v>925000</v>
      </c>
    </row>
    <row r="429" spans="2:9" x14ac:dyDescent="0.3">
      <c r="B429" s="130" t="str">
        <f ca="1">IFERROR(__xludf.DUMMYFUNCTION("""COMPUTED_VALUE"""),"круг")</f>
        <v>круг</v>
      </c>
      <c r="C429" s="125" t="str">
        <f ca="1">IFERROR(__xludf.DUMMYFUNCTION("""COMPUTED_VALUE"""),"10Х17Н13М2Т")</f>
        <v>10Х17Н13М2Т</v>
      </c>
      <c r="D429" s="131">
        <f ca="1">IFERROR(__xludf.DUMMYFUNCTION("""COMPUTED_VALUE"""),65)</f>
        <v>65</v>
      </c>
      <c r="E429" s="131"/>
      <c r="F429" s="132" t="str">
        <f ca="1">IFERROR(__xludf.DUMMYFUNCTION("""COMPUTED_VALUE"""),"гост 5949/2590, 2ГП, обт.")</f>
        <v>гост 5949/2590, 2ГП, обт.</v>
      </c>
      <c r="G429" s="133">
        <f ca="1">IFERROR(__xludf.DUMMYFUNCTION("""COMPUTED_VALUE"""),0.371999999999999)</f>
        <v>0.371999999999999</v>
      </c>
      <c r="H429" s="133"/>
      <c r="I429" s="134">
        <f ca="1">IFERROR(__xludf.DUMMYFUNCTION("""COMPUTED_VALUE"""),880000)</f>
        <v>880000</v>
      </c>
    </row>
    <row r="430" spans="2:9" x14ac:dyDescent="0.3">
      <c r="B430" s="130" t="str">
        <f ca="1">IFERROR(__xludf.DUMMYFUNCTION("""COMPUTED_VALUE"""),"круг")</f>
        <v>круг</v>
      </c>
      <c r="C430" s="125" t="str">
        <f ca="1">IFERROR(__xludf.DUMMYFUNCTION("""COMPUTED_VALUE"""),"10Х17Н13М2Т")</f>
        <v>10Х17Н13М2Т</v>
      </c>
      <c r="D430" s="131">
        <f ca="1">IFERROR(__xludf.DUMMYFUNCTION("""COMPUTED_VALUE"""),65)</f>
        <v>65</v>
      </c>
      <c r="E430" s="131"/>
      <c r="F430" s="132" t="str">
        <f ca="1">IFERROR(__xludf.DUMMYFUNCTION("""COMPUTED_VALUE"""),"гост 5949/2590, РТ-Тех")</f>
        <v>гост 5949/2590, РТ-Тех</v>
      </c>
      <c r="G430" s="133">
        <f ca="1">IFERROR(__xludf.DUMMYFUNCTION("""COMPUTED_VALUE"""),1.24599999999999)</f>
        <v>1.24599999999999</v>
      </c>
      <c r="H430" s="133"/>
      <c r="I430" s="134">
        <f ca="1">IFERROR(__xludf.DUMMYFUNCTION("""COMPUTED_VALUE"""),925000)</f>
        <v>925000</v>
      </c>
    </row>
    <row r="431" spans="2:9" x14ac:dyDescent="0.3">
      <c r="B431" s="130" t="str">
        <f ca="1">IFERROR(__xludf.DUMMYFUNCTION("""COMPUTED_VALUE"""),"круг")</f>
        <v>круг</v>
      </c>
      <c r="C431" s="125" t="str">
        <f ca="1">IFERROR(__xludf.DUMMYFUNCTION("""COMPUTED_VALUE"""),"10Х17Н13М2Т")</f>
        <v>10Х17Н13М2Т</v>
      </c>
      <c r="D431" s="131">
        <f ca="1">IFERROR(__xludf.DUMMYFUNCTION("""COMPUTED_VALUE"""),70)</f>
        <v>70</v>
      </c>
      <c r="E431" s="131"/>
      <c r="F431" s="132" t="str">
        <f ca="1">IFERROR(__xludf.DUMMYFUNCTION("""COMPUTED_VALUE"""),"2ГП , УЗК, МКК, ОБТ")</f>
        <v>2ГП , УЗК, МКК, ОБТ</v>
      </c>
      <c r="G431" s="133">
        <f ca="1">IFERROR(__xludf.DUMMYFUNCTION("""COMPUTED_VALUE"""),2.722)</f>
        <v>2.722</v>
      </c>
      <c r="H431" s="133"/>
      <c r="I431" s="134">
        <f ca="1">IFERROR(__xludf.DUMMYFUNCTION("""COMPUTED_VALUE"""),705000)</f>
        <v>705000</v>
      </c>
    </row>
    <row r="432" spans="2:9" x14ac:dyDescent="0.3">
      <c r="B432" s="130" t="str">
        <f ca="1">IFERROR(__xludf.DUMMYFUNCTION("""COMPUTED_VALUE"""),"круг")</f>
        <v>круг</v>
      </c>
      <c r="C432" s="125" t="str">
        <f ca="1">IFERROR(__xludf.DUMMYFUNCTION("""COMPUTED_VALUE"""),"10Х17Н13М2Т")</f>
        <v>10Х17Н13М2Т</v>
      </c>
      <c r="D432" s="131">
        <f ca="1">IFERROR(__xludf.DUMMYFUNCTION("""COMPUTED_VALUE"""),80)</f>
        <v>80</v>
      </c>
      <c r="E432" s="131"/>
      <c r="F432" s="132" t="str">
        <f ca="1">IFERROR(__xludf.DUMMYFUNCTION("""COMPUTED_VALUE"""),"гост 5949/2590, 2ГП, обт.")</f>
        <v>гост 5949/2590, 2ГП, обт.</v>
      </c>
      <c r="G432" s="133">
        <f ca="1">IFERROR(__xludf.DUMMYFUNCTION("""COMPUTED_VALUE"""),0.313)</f>
        <v>0.313</v>
      </c>
      <c r="H432" s="133"/>
      <c r="I432" s="134">
        <f ca="1">IFERROR(__xludf.DUMMYFUNCTION("""COMPUTED_VALUE"""),700000)</f>
        <v>700000</v>
      </c>
    </row>
    <row r="433" spans="2:9" x14ac:dyDescent="0.3">
      <c r="B433" s="130" t="str">
        <f ca="1">IFERROR(__xludf.DUMMYFUNCTION("""COMPUTED_VALUE"""),"круг")</f>
        <v>круг</v>
      </c>
      <c r="C433" s="125" t="str">
        <f ca="1">IFERROR(__xludf.DUMMYFUNCTION("""COMPUTED_VALUE"""),"10Х17Н13М2Т")</f>
        <v>10Х17Н13М2Т</v>
      </c>
      <c r="D433" s="131">
        <f ca="1">IFERROR(__xludf.DUMMYFUNCTION("""COMPUTED_VALUE"""),80)</f>
        <v>80</v>
      </c>
      <c r="E433" s="131"/>
      <c r="F433" s="132" t="str">
        <f ca="1">IFERROR(__xludf.DUMMYFUNCTION("""COMPUTED_VALUE"""),"гост 5949/2590 узк")</f>
        <v>гост 5949/2590 узк</v>
      </c>
      <c r="G433" s="133">
        <f ca="1">IFERROR(__xludf.DUMMYFUNCTION("""COMPUTED_VALUE"""),0.0389999999999997)</f>
        <v>3.8999999999999702E-2</v>
      </c>
      <c r="H433" s="133"/>
      <c r="I433" s="134">
        <f ca="1">IFERROR(__xludf.DUMMYFUNCTION("""COMPUTED_VALUE"""),800000)</f>
        <v>800000</v>
      </c>
    </row>
    <row r="434" spans="2:9" x14ac:dyDescent="0.3">
      <c r="B434" s="130" t="str">
        <f ca="1">IFERROR(__xludf.DUMMYFUNCTION("""COMPUTED_VALUE"""),"круг")</f>
        <v>круг</v>
      </c>
      <c r="C434" s="125" t="str">
        <f ca="1">IFERROR(__xludf.DUMMYFUNCTION("""COMPUTED_VALUE"""),"10Х17Н13М2Т")</f>
        <v>10Х17Н13М2Т</v>
      </c>
      <c r="D434" s="131">
        <f ca="1">IFERROR(__xludf.DUMMYFUNCTION("""COMPUTED_VALUE"""),80)</f>
        <v>80</v>
      </c>
      <c r="E434" s="131"/>
      <c r="F434" s="132" t="str">
        <f ca="1">IFERROR(__xludf.DUMMYFUNCTION("""COMPUTED_VALUE"""),"гост 5949/2590 узк")</f>
        <v>гост 5949/2590 узк</v>
      </c>
      <c r="G434" s="133">
        <f ca="1">IFERROR(__xludf.DUMMYFUNCTION("""COMPUTED_VALUE"""),1.544)</f>
        <v>1.544</v>
      </c>
      <c r="H434" s="133"/>
      <c r="I434" s="134">
        <f ca="1">IFERROR(__xludf.DUMMYFUNCTION("""COMPUTED_VALUE"""),800000)</f>
        <v>800000</v>
      </c>
    </row>
    <row r="435" spans="2:9" x14ac:dyDescent="0.3">
      <c r="B435" s="130" t="str">
        <f ca="1">IFERROR(__xludf.DUMMYFUNCTION("""COMPUTED_VALUE"""),"круг")</f>
        <v>круг</v>
      </c>
      <c r="C435" s="125" t="str">
        <f ca="1">IFERROR(__xludf.DUMMYFUNCTION("""COMPUTED_VALUE"""),"10Х17Н13М2Т")</f>
        <v>10Х17Н13М2Т</v>
      </c>
      <c r="D435" s="131">
        <f ca="1">IFERROR(__xludf.DUMMYFUNCTION("""COMPUTED_VALUE"""),90)</f>
        <v>90</v>
      </c>
      <c r="E435" s="131"/>
      <c r="F435" s="132" t="str">
        <f ca="1">IFERROR(__xludf.DUMMYFUNCTION("""COMPUTED_VALUE"""),"2ГП , УЗК, МКК, ОБТ")</f>
        <v>2ГП , УЗК, МКК, ОБТ</v>
      </c>
      <c r="G435" s="133">
        <f ca="1">IFERROR(__xludf.DUMMYFUNCTION("""COMPUTED_VALUE"""),2.81)</f>
        <v>2.81</v>
      </c>
      <c r="H435" s="133"/>
      <c r="I435" s="134">
        <f ca="1">IFERROR(__xludf.DUMMYFUNCTION("""COMPUTED_VALUE"""),705000)</f>
        <v>705000</v>
      </c>
    </row>
    <row r="436" spans="2:9" x14ac:dyDescent="0.3">
      <c r="B436" s="130" t="str">
        <f ca="1">IFERROR(__xludf.DUMMYFUNCTION("""COMPUTED_VALUE"""),"круг")</f>
        <v>круг</v>
      </c>
      <c r="C436" s="125" t="str">
        <f ca="1">IFERROR(__xludf.DUMMYFUNCTION("""COMPUTED_VALUE"""),"10Х17Н13М2Т")</f>
        <v>10Х17Н13М2Т</v>
      </c>
      <c r="D436" s="131">
        <f ca="1">IFERROR(__xludf.DUMMYFUNCTION("""COMPUTED_VALUE"""),90)</f>
        <v>90</v>
      </c>
      <c r="E436" s="131"/>
      <c r="F436" s="132" t="str">
        <f ca="1">IFERROR(__xludf.DUMMYFUNCTION("""COMPUTED_VALUE"""),"3гп, узк МКК")</f>
        <v>3гп, узк МКК</v>
      </c>
      <c r="G436" s="133">
        <f ca="1">IFERROR(__xludf.DUMMYFUNCTION("""COMPUTED_VALUE"""),0.369)</f>
        <v>0.36899999999999999</v>
      </c>
      <c r="H436" s="133"/>
      <c r="I436" s="134">
        <f ca="1">IFERROR(__xludf.DUMMYFUNCTION("""COMPUTED_VALUE"""),835000)</f>
        <v>835000</v>
      </c>
    </row>
    <row r="437" spans="2:9" x14ac:dyDescent="0.3">
      <c r="B437" s="130" t="str">
        <f ca="1">IFERROR(__xludf.DUMMYFUNCTION("""COMPUTED_VALUE"""),"круг")</f>
        <v>круг</v>
      </c>
      <c r="C437" s="125" t="str">
        <f ca="1">IFERROR(__xludf.DUMMYFUNCTION("""COMPUTED_VALUE"""),"10Х17Н13М2Т")</f>
        <v>10Х17Н13М2Т</v>
      </c>
      <c r="D437" s="131">
        <f ca="1">IFERROR(__xludf.DUMMYFUNCTION("""COMPUTED_VALUE"""),100)</f>
        <v>100</v>
      </c>
      <c r="E437" s="131"/>
      <c r="F437" s="132" t="str">
        <f ca="1">IFERROR(__xludf.DUMMYFUNCTION("""COMPUTED_VALUE"""),"гост 5949/2590 2гп, НД, УЗК МКК")</f>
        <v>гост 5949/2590 2гп, НД, УЗК МКК</v>
      </c>
      <c r="G437" s="133">
        <f ca="1">IFERROR(__xludf.DUMMYFUNCTION("""COMPUTED_VALUE"""),0.754999999999999)</f>
        <v>0.75499999999999901</v>
      </c>
      <c r="H437" s="133"/>
      <c r="I437" s="134">
        <f ca="1">IFERROR(__xludf.DUMMYFUNCTION("""COMPUTED_VALUE"""),880000)</f>
        <v>880000</v>
      </c>
    </row>
    <row r="438" spans="2:9" x14ac:dyDescent="0.3">
      <c r="B438" s="130" t="str">
        <f ca="1">IFERROR(__xludf.DUMMYFUNCTION("""COMPUTED_VALUE"""),"круг")</f>
        <v>круг</v>
      </c>
      <c r="C438" s="125" t="str">
        <f ca="1">IFERROR(__xludf.DUMMYFUNCTION("""COMPUTED_VALUE"""),"10Х17Н13М2Т")</f>
        <v>10Х17Н13М2Т</v>
      </c>
      <c r="D438" s="131">
        <f ca="1">IFERROR(__xludf.DUMMYFUNCTION("""COMPUTED_VALUE"""),100)</f>
        <v>100</v>
      </c>
      <c r="E438" s="131"/>
      <c r="F438" s="132" t="str">
        <f ca="1">IFERROR(__xludf.DUMMYFUNCTION("""COMPUTED_VALUE"""),"2ГП , УЗК, МКК, ОБТ")</f>
        <v>2ГП , УЗК, МКК, ОБТ</v>
      </c>
      <c r="G438" s="133">
        <f ca="1">IFERROR(__xludf.DUMMYFUNCTION("""COMPUTED_VALUE"""),2.455)</f>
        <v>2.4550000000000001</v>
      </c>
      <c r="H438" s="133"/>
      <c r="I438" s="134">
        <f ca="1">IFERROR(__xludf.DUMMYFUNCTION("""COMPUTED_VALUE"""),705000)</f>
        <v>705000</v>
      </c>
    </row>
    <row r="439" spans="2:9" x14ac:dyDescent="0.3">
      <c r="B439" s="130" t="str">
        <f ca="1">IFERROR(__xludf.DUMMYFUNCTION("""COMPUTED_VALUE"""),"круг")</f>
        <v>круг</v>
      </c>
      <c r="C439" s="125" t="str">
        <f ca="1">IFERROR(__xludf.DUMMYFUNCTION("""COMPUTED_VALUE"""),"10Х17Н13М2Т")</f>
        <v>10Х17Н13М2Т</v>
      </c>
      <c r="D439" s="131">
        <f ca="1">IFERROR(__xludf.DUMMYFUNCTION("""COMPUTED_VALUE"""),100)</f>
        <v>100</v>
      </c>
      <c r="E439" s="131"/>
      <c r="F439" s="132" t="str">
        <f ca="1">IFERROR(__xludf.DUMMYFUNCTION("""COMPUTED_VALUE"""),"2ГП , УЗК, МКК, ОБТ")</f>
        <v>2ГП , УЗК, МКК, ОБТ</v>
      </c>
      <c r="G439" s="133">
        <f ca="1">IFERROR(__xludf.DUMMYFUNCTION("""COMPUTED_VALUE"""),0.745)</f>
        <v>0.745</v>
      </c>
      <c r="H439" s="133"/>
      <c r="I439" s="134">
        <f ca="1">IFERROR(__xludf.DUMMYFUNCTION("""COMPUTED_VALUE"""),705000)</f>
        <v>705000</v>
      </c>
    </row>
    <row r="440" spans="2:9" x14ac:dyDescent="0.3">
      <c r="B440" s="130" t="str">
        <f ca="1">IFERROR(__xludf.DUMMYFUNCTION("""COMPUTED_VALUE"""),"круг")</f>
        <v>круг</v>
      </c>
      <c r="C440" s="125" t="str">
        <f ca="1">IFERROR(__xludf.DUMMYFUNCTION("""COMPUTED_VALUE"""),"10Х17Н13М2Т")</f>
        <v>10Х17Н13М2Т</v>
      </c>
      <c r="D440" s="131">
        <f ca="1">IFERROR(__xludf.DUMMYFUNCTION("""COMPUTED_VALUE"""),110)</f>
        <v>110</v>
      </c>
      <c r="E440" s="131"/>
      <c r="F440" s="132" t="str">
        <f ca="1">IFERROR(__xludf.DUMMYFUNCTION("""COMPUTED_VALUE"""),"3гп, узк МКК")</f>
        <v>3гп, узк МКК</v>
      </c>
      <c r="G440" s="133">
        <f ca="1">IFERROR(__xludf.DUMMYFUNCTION("""COMPUTED_VALUE"""),0.574)</f>
        <v>0.57399999999999995</v>
      </c>
      <c r="H440" s="133"/>
      <c r="I440" s="134">
        <f ca="1">IFERROR(__xludf.DUMMYFUNCTION("""COMPUTED_VALUE"""),790000)</f>
        <v>790000</v>
      </c>
    </row>
    <row r="441" spans="2:9" x14ac:dyDescent="0.3">
      <c r="B441" s="130" t="str">
        <f ca="1">IFERROR(__xludf.DUMMYFUNCTION("""COMPUTED_VALUE"""),"круг")</f>
        <v>круг</v>
      </c>
      <c r="C441" s="125" t="str">
        <f ca="1">IFERROR(__xludf.DUMMYFUNCTION("""COMPUTED_VALUE"""),"10Х17Н13М2Т")</f>
        <v>10Х17Н13М2Т</v>
      </c>
      <c r="D441" s="131">
        <f ca="1">IFERROR(__xludf.DUMMYFUNCTION("""COMPUTED_VALUE"""),110)</f>
        <v>110</v>
      </c>
      <c r="E441" s="131"/>
      <c r="F441" s="132" t="str">
        <f ca="1">IFERROR(__xludf.DUMMYFUNCTION("""COMPUTED_VALUE"""),"2ГП , УЗК, МКК, ОБТ")</f>
        <v>2ГП , УЗК, МКК, ОБТ</v>
      </c>
      <c r="G441" s="133">
        <f ca="1">IFERROR(__xludf.DUMMYFUNCTION("""COMPUTED_VALUE"""),1.107)</f>
        <v>1.107</v>
      </c>
      <c r="H441" s="133"/>
      <c r="I441" s="134">
        <f ca="1">IFERROR(__xludf.DUMMYFUNCTION("""COMPUTED_VALUE"""),705000)</f>
        <v>705000</v>
      </c>
    </row>
    <row r="442" spans="2:9" x14ac:dyDescent="0.3">
      <c r="B442" s="130" t="str">
        <f ca="1">IFERROR(__xludf.DUMMYFUNCTION("""COMPUTED_VALUE"""),"круг")</f>
        <v>круг</v>
      </c>
      <c r="C442" s="125" t="str">
        <f ca="1">IFERROR(__xludf.DUMMYFUNCTION("""COMPUTED_VALUE"""),"10Х17Н13М2Т")</f>
        <v>10Х17Н13М2Т</v>
      </c>
      <c r="D442" s="131">
        <f ca="1">IFERROR(__xludf.DUMMYFUNCTION("""COMPUTED_VALUE"""),120)</f>
        <v>120</v>
      </c>
      <c r="E442" s="131"/>
      <c r="F442" s="132" t="str">
        <f ca="1">IFERROR(__xludf.DUMMYFUNCTION("""COMPUTED_VALUE"""),"3гп, узк МКК")</f>
        <v>3гп, узк МКК</v>
      </c>
      <c r="G442" s="133">
        <f ca="1">IFERROR(__xludf.DUMMYFUNCTION("""COMPUTED_VALUE"""),0.315)</f>
        <v>0.315</v>
      </c>
      <c r="H442" s="133"/>
      <c r="I442" s="134">
        <f ca="1">IFERROR(__xludf.DUMMYFUNCTION("""COMPUTED_VALUE"""),790000)</f>
        <v>790000</v>
      </c>
    </row>
    <row r="443" spans="2:9" x14ac:dyDescent="0.3">
      <c r="B443" s="130" t="str">
        <f ca="1">IFERROR(__xludf.DUMMYFUNCTION("""COMPUTED_VALUE"""),"круг")</f>
        <v>круг</v>
      </c>
      <c r="C443" s="125" t="str">
        <f ca="1">IFERROR(__xludf.DUMMYFUNCTION("""COMPUTED_VALUE"""),"10Х17Н13М2Т")</f>
        <v>10Х17Н13М2Т</v>
      </c>
      <c r="D443" s="131">
        <f ca="1">IFERROR(__xludf.DUMMYFUNCTION("""COMPUTED_VALUE"""),120)</f>
        <v>120</v>
      </c>
      <c r="E443" s="131"/>
      <c r="F443" s="132" t="str">
        <f ca="1">IFERROR(__xludf.DUMMYFUNCTION("""COMPUTED_VALUE"""),"2ГП , УЗК, МКК, ОБТ")</f>
        <v>2ГП , УЗК, МКК, ОБТ</v>
      </c>
      <c r="G443" s="133">
        <f ca="1">IFERROR(__xludf.DUMMYFUNCTION("""COMPUTED_VALUE"""),2.431)</f>
        <v>2.431</v>
      </c>
      <c r="H443" s="133"/>
      <c r="I443" s="134">
        <f ca="1">IFERROR(__xludf.DUMMYFUNCTION("""COMPUTED_VALUE"""),705000)</f>
        <v>705000</v>
      </c>
    </row>
    <row r="444" spans="2:9" x14ac:dyDescent="0.3">
      <c r="B444" s="130" t="str">
        <f ca="1">IFERROR(__xludf.DUMMYFUNCTION("""COMPUTED_VALUE"""),"круг")</f>
        <v>круг</v>
      </c>
      <c r="C444" s="125" t="str">
        <f ca="1">IFERROR(__xludf.DUMMYFUNCTION("""COMPUTED_VALUE"""),"10Х17Н13М2Т")</f>
        <v>10Х17Н13М2Т</v>
      </c>
      <c r="D444" s="131">
        <f ca="1">IFERROR(__xludf.DUMMYFUNCTION("""COMPUTED_VALUE"""),130)</f>
        <v>130</v>
      </c>
      <c r="E444" s="131"/>
      <c r="F444" s="132" t="str">
        <f ca="1">IFERROR(__xludf.DUMMYFUNCTION("""COMPUTED_VALUE"""),"  гост 5949/2590")</f>
        <v xml:space="preserve">  гост 5949/2590</v>
      </c>
      <c r="G444" s="133">
        <f ca="1">IFERROR(__xludf.DUMMYFUNCTION("""COMPUTED_VALUE"""),0.292)</f>
        <v>0.29199999999999998</v>
      </c>
      <c r="H444" s="133"/>
      <c r="I444" s="134">
        <f ca="1">IFERROR(__xludf.DUMMYFUNCTION("""COMPUTED_VALUE"""),950000)</f>
        <v>950000</v>
      </c>
    </row>
    <row r="445" spans="2:9" x14ac:dyDescent="0.3">
      <c r="B445" s="130" t="str">
        <f ca="1">IFERROR(__xludf.DUMMYFUNCTION("""COMPUTED_VALUE"""),"круг")</f>
        <v>круг</v>
      </c>
      <c r="C445" s="125" t="str">
        <f ca="1">IFERROR(__xludf.DUMMYFUNCTION("""COMPUTED_VALUE"""),"10Х17Н13М2Т")</f>
        <v>10Х17Н13М2Т</v>
      </c>
      <c r="D445" s="131">
        <f ca="1">IFERROR(__xludf.DUMMYFUNCTION("""COMPUTED_VALUE"""),130)</f>
        <v>130</v>
      </c>
      <c r="E445" s="131"/>
      <c r="F445" s="132" t="str">
        <f ca="1">IFERROR(__xludf.DUMMYFUNCTION("""COMPUTED_VALUE"""),"  3 шт  приход МС")</f>
        <v xml:space="preserve">  3 шт  приход МС</v>
      </c>
      <c r="G445" s="133">
        <f ca="1">IFERROR(__xludf.DUMMYFUNCTION("""COMPUTED_VALUE"""),1.539)</f>
        <v>1.5389999999999999</v>
      </c>
      <c r="H445" s="133"/>
      <c r="I445" s="134">
        <f ca="1">IFERROR(__xludf.DUMMYFUNCTION("""COMPUTED_VALUE"""),950000)</f>
        <v>950000</v>
      </c>
    </row>
    <row r="446" spans="2:9" x14ac:dyDescent="0.3">
      <c r="B446" s="130" t="str">
        <f ca="1">IFERROR(__xludf.DUMMYFUNCTION("""COMPUTED_VALUE"""),"круг")</f>
        <v>круг</v>
      </c>
      <c r="C446" s="125" t="str">
        <f ca="1">IFERROR(__xludf.DUMMYFUNCTION("""COMPUTED_VALUE"""),"10Х17Н13М2Т")</f>
        <v>10Х17Н13М2Т</v>
      </c>
      <c r="D446" s="131">
        <f ca="1">IFERROR(__xludf.DUMMYFUNCTION("""COMPUTED_VALUE"""),140)</f>
        <v>140</v>
      </c>
      <c r="E446" s="131"/>
      <c r="F446" s="132" t="str">
        <f ca="1">IFERROR(__xludf.DUMMYFUNCTION("""COMPUTED_VALUE"""),"гост 5949/2590 ")</f>
        <v xml:space="preserve">гост 5949/2590 </v>
      </c>
      <c r="G446" s="133">
        <f ca="1">IFERROR(__xludf.DUMMYFUNCTION("""COMPUTED_VALUE"""),1.86999999999999)</f>
        <v>1.8699999999999899</v>
      </c>
      <c r="H446" s="133"/>
      <c r="I446" s="134">
        <f ca="1">IFERROR(__xludf.DUMMYFUNCTION("""COMPUTED_VALUE"""),950000)</f>
        <v>950000</v>
      </c>
    </row>
    <row r="447" spans="2:9" x14ac:dyDescent="0.3">
      <c r="B447" s="130" t="str">
        <f ca="1">IFERROR(__xludf.DUMMYFUNCTION("""COMPUTED_VALUE"""),"круг")</f>
        <v>круг</v>
      </c>
      <c r="C447" s="125" t="str">
        <f ca="1">IFERROR(__xludf.DUMMYFUNCTION("""COMPUTED_VALUE"""),"10Х17Н13М2Т")</f>
        <v>10Х17Н13М2Т</v>
      </c>
      <c r="D447" s="131">
        <f ca="1">IFERROR(__xludf.DUMMYFUNCTION("""COMPUTED_VALUE"""),150)</f>
        <v>150</v>
      </c>
      <c r="E447" s="131"/>
      <c r="F447" s="132" t="str">
        <f ca="1">IFERROR(__xludf.DUMMYFUNCTION("""COMPUTED_VALUE"""),"гост 5949/2590 ")</f>
        <v xml:space="preserve">гост 5949/2590 </v>
      </c>
      <c r="G447" s="133">
        <f ca="1">IFERROR(__xludf.DUMMYFUNCTION("""COMPUTED_VALUE"""),0.045)</f>
        <v>4.4999999999999998E-2</v>
      </c>
      <c r="H447" s="133"/>
      <c r="I447" s="134">
        <f ca="1">IFERROR(__xludf.DUMMYFUNCTION("""COMPUTED_VALUE"""),950000)</f>
        <v>950000</v>
      </c>
    </row>
    <row r="448" spans="2:9" x14ac:dyDescent="0.3">
      <c r="B448" s="130" t="str">
        <f ca="1">IFERROR(__xludf.DUMMYFUNCTION("""COMPUTED_VALUE"""),"круг")</f>
        <v>круг</v>
      </c>
      <c r="C448" s="125" t="str">
        <f ca="1">IFERROR(__xludf.DUMMYFUNCTION("""COMPUTED_VALUE"""),"10Х17Н13М2Т")</f>
        <v>10Х17Н13М2Т</v>
      </c>
      <c r="D448" s="131">
        <f ca="1">IFERROR(__xludf.DUMMYFUNCTION("""COMPUTED_VALUE"""),150)</f>
        <v>150</v>
      </c>
      <c r="E448" s="131"/>
      <c r="F448" s="132" t="str">
        <f ca="1">IFERROR(__xludf.DUMMYFUNCTION("""COMPUTED_VALUE"""),"3гп, узк МКК")</f>
        <v>3гп, узк МКК</v>
      </c>
      <c r="G448" s="133">
        <f ca="1">IFERROR(__xludf.DUMMYFUNCTION("""COMPUTED_VALUE"""),1.525)</f>
        <v>1.5249999999999999</v>
      </c>
      <c r="H448" s="133"/>
      <c r="I448" s="134">
        <f ca="1">IFERROR(__xludf.DUMMYFUNCTION("""COMPUTED_VALUE"""),950000)</f>
        <v>950000</v>
      </c>
    </row>
    <row r="449" spans="2:9" x14ac:dyDescent="0.3">
      <c r="B449" s="130" t="str">
        <f ca="1">IFERROR(__xludf.DUMMYFUNCTION("""COMPUTED_VALUE"""),"круг")</f>
        <v>круг</v>
      </c>
      <c r="C449" s="125" t="str">
        <f ca="1">IFERROR(__xludf.DUMMYFUNCTION("""COMPUTED_VALUE"""),"10Х17Н13М2Т")</f>
        <v>10Х17Н13М2Т</v>
      </c>
      <c r="D449" s="131">
        <f ca="1">IFERROR(__xludf.DUMMYFUNCTION("""COMPUTED_VALUE"""),160)</f>
        <v>160</v>
      </c>
      <c r="E449" s="131"/>
      <c r="F449" s="132" t="str">
        <f ca="1">IFERROR(__xludf.DUMMYFUNCTION("""COMPUTED_VALUE"""),"гост 5949/2590 2гп, НД, УЗК МКК")</f>
        <v>гост 5949/2590 2гп, НД, УЗК МКК</v>
      </c>
      <c r="G449" s="133">
        <f ca="1">IFERROR(__xludf.DUMMYFUNCTION("""COMPUTED_VALUE"""),0.296999999999999)</f>
        <v>0.29699999999999899</v>
      </c>
      <c r="H449" s="133"/>
      <c r="I449" s="134">
        <f ca="1">IFERROR(__xludf.DUMMYFUNCTION("""COMPUTED_VALUE"""),950000)</f>
        <v>950000</v>
      </c>
    </row>
    <row r="450" spans="2:9" x14ac:dyDescent="0.3">
      <c r="B450" s="130" t="str">
        <f ca="1">IFERROR(__xludf.DUMMYFUNCTION("""COMPUTED_VALUE"""),"круг")</f>
        <v>круг</v>
      </c>
      <c r="C450" s="125" t="str">
        <f ca="1">IFERROR(__xludf.DUMMYFUNCTION("""COMPUTED_VALUE"""),"10Х17Н13М2Т")</f>
        <v>10Х17Н13М2Т</v>
      </c>
      <c r="D450" s="131">
        <f ca="1">IFERROR(__xludf.DUMMYFUNCTION("""COMPUTED_VALUE"""),160)</f>
        <v>160</v>
      </c>
      <c r="E450" s="131"/>
      <c r="F450" s="132" t="str">
        <f ca="1">IFERROR(__xludf.DUMMYFUNCTION("""COMPUTED_VALUE"""),"гост 5949/2590 2гп, НД, УЗК МКК")</f>
        <v>гост 5949/2590 2гп, НД, УЗК МКК</v>
      </c>
      <c r="G450" s="133">
        <f ca="1">IFERROR(__xludf.DUMMYFUNCTION("""COMPUTED_VALUE"""),0.98)</f>
        <v>0.98</v>
      </c>
      <c r="H450" s="133"/>
      <c r="I450" s="134">
        <f ca="1">IFERROR(__xludf.DUMMYFUNCTION("""COMPUTED_VALUE"""),950000)</f>
        <v>950000</v>
      </c>
    </row>
    <row r="451" spans="2:9" x14ac:dyDescent="0.3">
      <c r="B451" s="130" t="str">
        <f ca="1">IFERROR(__xludf.DUMMYFUNCTION("""COMPUTED_VALUE"""),"круг")</f>
        <v>круг</v>
      </c>
      <c r="C451" s="125" t="str">
        <f ca="1">IFERROR(__xludf.DUMMYFUNCTION("""COMPUTED_VALUE"""),"10Х17Н13М2Т")</f>
        <v>10Х17Н13М2Т</v>
      </c>
      <c r="D451" s="131">
        <f ca="1">IFERROR(__xludf.DUMMYFUNCTION("""COMPUTED_VALUE"""),170)</f>
        <v>170</v>
      </c>
      <c r="E451" s="131"/>
      <c r="F451" s="132" t="str">
        <f ca="1">IFERROR(__xludf.DUMMYFUNCTION("""COMPUTED_VALUE"""),"2ГП , УЗК, МКК, ОБТ")</f>
        <v>2ГП , УЗК, МКК, ОБТ</v>
      </c>
      <c r="G451" s="133">
        <f ca="1">IFERROR(__xludf.DUMMYFUNCTION("""COMPUTED_VALUE"""),0.685999999999999)</f>
        <v>0.68599999999999905</v>
      </c>
      <c r="H451" s="133"/>
      <c r="I451" s="134">
        <f ca="1">IFERROR(__xludf.DUMMYFUNCTION("""COMPUTED_VALUE"""),705000)</f>
        <v>705000</v>
      </c>
    </row>
    <row r="452" spans="2:9" x14ac:dyDescent="0.3">
      <c r="B452" s="130" t="str">
        <f ca="1">IFERROR(__xludf.DUMMYFUNCTION("""COMPUTED_VALUE"""),"круг")</f>
        <v>круг</v>
      </c>
      <c r="C452" s="125" t="str">
        <f ca="1">IFERROR(__xludf.DUMMYFUNCTION("""COMPUTED_VALUE"""),"10Х17Н13М2Т")</f>
        <v>10Х17Н13М2Т</v>
      </c>
      <c r="D452" s="131">
        <f ca="1">IFERROR(__xludf.DUMMYFUNCTION("""COMPUTED_VALUE"""),180)</f>
        <v>180</v>
      </c>
      <c r="E452" s="131"/>
      <c r="F452" s="132" t="str">
        <f ca="1">IFERROR(__xludf.DUMMYFUNCTION("""COMPUTED_VALUE"""),"2ГП , УЗК, МКК, ОБТ")</f>
        <v>2ГП , УЗК, МКК, ОБТ</v>
      </c>
      <c r="G452" s="133">
        <f ca="1">IFERROR(__xludf.DUMMYFUNCTION("""COMPUTED_VALUE"""),2.346)</f>
        <v>2.3460000000000001</v>
      </c>
      <c r="H452" s="133"/>
      <c r="I452" s="134">
        <f ca="1">IFERROR(__xludf.DUMMYFUNCTION("""COMPUTED_VALUE"""),705000)</f>
        <v>705000</v>
      </c>
    </row>
    <row r="453" spans="2:9" x14ac:dyDescent="0.3">
      <c r="B453" s="130" t="str">
        <f ca="1">IFERROR(__xludf.DUMMYFUNCTION("""COMPUTED_VALUE"""),"круг")</f>
        <v>круг</v>
      </c>
      <c r="C453" s="125" t="str">
        <f ca="1">IFERROR(__xludf.DUMMYFUNCTION("""COMPUTED_VALUE"""),"10Х17Н13М2Т")</f>
        <v>10Х17Н13М2Т</v>
      </c>
      <c r="D453" s="131">
        <f ca="1">IFERROR(__xludf.DUMMYFUNCTION("""COMPUTED_VALUE"""),180)</f>
        <v>180</v>
      </c>
      <c r="E453" s="131"/>
      <c r="F453" s="132" t="str">
        <f ca="1">IFERROR(__xludf.DUMMYFUNCTION("""COMPUTED_VALUE"""),"3гп, узк МКК")</f>
        <v>3гп, узк МКК</v>
      </c>
      <c r="G453" s="133">
        <f ca="1">IFERROR(__xludf.DUMMYFUNCTION("""COMPUTED_VALUE"""),0.0369999999999994)</f>
        <v>3.6999999999999401E-2</v>
      </c>
      <c r="H453" s="133"/>
      <c r="I453" s="134">
        <f ca="1">IFERROR(__xludf.DUMMYFUNCTION("""COMPUTED_VALUE"""),790000)</f>
        <v>790000</v>
      </c>
    </row>
    <row r="454" spans="2:9" x14ac:dyDescent="0.3">
      <c r="B454" s="130" t="str">
        <f ca="1">IFERROR(__xludf.DUMMYFUNCTION("""COMPUTED_VALUE"""),"круг")</f>
        <v>круг</v>
      </c>
      <c r="C454" s="125" t="str">
        <f ca="1">IFERROR(__xludf.DUMMYFUNCTION("""COMPUTED_VALUE"""),"10Х17Н13М2Т")</f>
        <v>10Х17Н13М2Т</v>
      </c>
      <c r="D454" s="131">
        <f ca="1">IFERROR(__xludf.DUMMYFUNCTION("""COMPUTED_VALUE"""),190)</f>
        <v>190</v>
      </c>
      <c r="E454" s="131"/>
      <c r="F454" s="132" t="str">
        <f ca="1">IFERROR(__xludf.DUMMYFUNCTION("""COMPUTED_VALUE"""),"гост 5949/2590 ")</f>
        <v xml:space="preserve">гост 5949/2590 </v>
      </c>
      <c r="G454" s="133">
        <f ca="1">IFERROR(__xludf.DUMMYFUNCTION("""COMPUTED_VALUE"""),0.0559999999999998)</f>
        <v>5.59999999999998E-2</v>
      </c>
      <c r="H454" s="133"/>
      <c r="I454" s="134">
        <f ca="1">IFERROR(__xludf.DUMMYFUNCTION("""COMPUTED_VALUE"""),950000)</f>
        <v>950000</v>
      </c>
    </row>
    <row r="455" spans="2:9" x14ac:dyDescent="0.3">
      <c r="B455" s="130" t="str">
        <f ca="1">IFERROR(__xludf.DUMMYFUNCTION("""COMPUTED_VALUE"""),"круг")</f>
        <v>круг</v>
      </c>
      <c r="C455" s="125" t="str">
        <f ca="1">IFERROR(__xludf.DUMMYFUNCTION("""COMPUTED_VALUE"""),"10Х17Н13М2Т")</f>
        <v>10Х17Н13М2Т</v>
      </c>
      <c r="D455" s="131">
        <f ca="1">IFERROR(__xludf.DUMMYFUNCTION("""COMPUTED_VALUE"""),190)</f>
        <v>190</v>
      </c>
      <c r="E455" s="131"/>
      <c r="F455" s="132"/>
      <c r="G455" s="133">
        <f ca="1">IFERROR(__xludf.DUMMYFUNCTION("""COMPUTED_VALUE"""),0.382)</f>
        <v>0.38200000000000001</v>
      </c>
      <c r="H455" s="133"/>
      <c r="I455" s="134">
        <f ca="1">IFERROR(__xludf.DUMMYFUNCTION("""COMPUTED_VALUE"""),950000)</f>
        <v>950000</v>
      </c>
    </row>
    <row r="456" spans="2:9" x14ac:dyDescent="0.3">
      <c r="B456" s="130" t="str">
        <f ca="1">IFERROR(__xludf.DUMMYFUNCTION("""COMPUTED_VALUE"""),"круг")</f>
        <v>круг</v>
      </c>
      <c r="C456" s="125" t="str">
        <f ca="1">IFERROR(__xludf.DUMMYFUNCTION("""COMPUTED_VALUE"""),"10Х17Н13М2Т")</f>
        <v>10Х17Н13М2Т</v>
      </c>
      <c r="D456" s="131">
        <f ca="1">IFERROR(__xludf.DUMMYFUNCTION("""COMPUTED_VALUE"""),190)</f>
        <v>190</v>
      </c>
      <c r="E456" s="131"/>
      <c r="F456" s="132" t="str">
        <f ca="1">IFERROR(__xludf.DUMMYFUNCTION("""COMPUTED_VALUE"""),"гост 5949/2590 2гп, НД, УЗК МКК")</f>
        <v>гост 5949/2590 2гп, НД, УЗК МКК</v>
      </c>
      <c r="G456" s="133">
        <f ca="1">IFERROR(__xludf.DUMMYFUNCTION("""COMPUTED_VALUE"""),0.593)</f>
        <v>0.59299999999999997</v>
      </c>
      <c r="H456" s="133"/>
      <c r="I456" s="134">
        <f ca="1">IFERROR(__xludf.DUMMYFUNCTION("""COMPUTED_VALUE"""),950000)</f>
        <v>950000</v>
      </c>
    </row>
    <row r="457" spans="2:9" x14ac:dyDescent="0.3">
      <c r="B457" s="130" t="str">
        <f ca="1">IFERROR(__xludf.DUMMYFUNCTION("""COMPUTED_VALUE"""),"круг")</f>
        <v>круг</v>
      </c>
      <c r="C457" s="125" t="str">
        <f ca="1">IFERROR(__xludf.DUMMYFUNCTION("""COMPUTED_VALUE"""),"10Х17Н13М2Т")</f>
        <v>10Х17Н13М2Т</v>
      </c>
      <c r="D457" s="131">
        <f ca="1">IFERROR(__xludf.DUMMYFUNCTION("""COMPUTED_VALUE"""),200)</f>
        <v>200</v>
      </c>
      <c r="E457" s="131"/>
      <c r="F457" s="132"/>
      <c r="G457" s="133">
        <f ca="1">IFERROR(__xludf.DUMMYFUNCTION("""COMPUTED_VALUE"""),0.174999999999999)</f>
        <v>0.17499999999999899</v>
      </c>
      <c r="H457" s="133"/>
      <c r="I457" s="134">
        <f ca="1">IFERROR(__xludf.DUMMYFUNCTION("""COMPUTED_VALUE"""),970000)</f>
        <v>970000</v>
      </c>
    </row>
    <row r="458" spans="2:9" x14ac:dyDescent="0.3">
      <c r="B458" s="130" t="str">
        <f ca="1">IFERROR(__xludf.DUMMYFUNCTION("""COMPUTED_VALUE"""),"круг")</f>
        <v>круг</v>
      </c>
      <c r="C458" s="125" t="str">
        <f ca="1">IFERROR(__xludf.DUMMYFUNCTION("""COMPUTED_VALUE"""),"10Х17Н13М2Т")</f>
        <v>10Х17Н13М2Т</v>
      </c>
      <c r="D458" s="131">
        <f ca="1">IFERROR(__xludf.DUMMYFUNCTION("""COMPUTED_VALUE"""),200)</f>
        <v>200</v>
      </c>
      <c r="E458" s="131"/>
      <c r="F458" s="132" t="str">
        <f ca="1">IFERROR(__xludf.DUMMYFUNCTION("""COMPUTED_VALUE"""),"3гп, узк МКК")</f>
        <v>3гп, узк МКК</v>
      </c>
      <c r="G458" s="133">
        <f ca="1">IFERROR(__xludf.DUMMYFUNCTION("""COMPUTED_VALUE"""),1.67)</f>
        <v>1.67</v>
      </c>
      <c r="H458" s="133"/>
      <c r="I458" s="134">
        <f ca="1">IFERROR(__xludf.DUMMYFUNCTION("""COMPUTED_VALUE"""),970000)</f>
        <v>970000</v>
      </c>
    </row>
    <row r="459" spans="2:9" x14ac:dyDescent="0.3">
      <c r="B459" s="130" t="str">
        <f ca="1">IFERROR(__xludf.DUMMYFUNCTION("""COMPUTED_VALUE"""),"круг")</f>
        <v>круг</v>
      </c>
      <c r="C459" s="125" t="str">
        <f ca="1">IFERROR(__xludf.DUMMYFUNCTION("""COMPUTED_VALUE"""),"10Х17Н13М2Т")</f>
        <v>10Х17Н13М2Т</v>
      </c>
      <c r="D459" s="131">
        <f ca="1">IFERROR(__xludf.DUMMYFUNCTION("""COMPUTED_VALUE"""),220)</f>
        <v>220</v>
      </c>
      <c r="E459" s="131"/>
      <c r="F459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3">
        <f ca="1">IFERROR(__xludf.DUMMYFUNCTION("""COMPUTED_VALUE"""),0.0169999999999999)</f>
        <v>1.6999999999999901E-2</v>
      </c>
      <c r="H459" s="133"/>
      <c r="I459" s="134">
        <f ca="1">IFERROR(__xludf.DUMMYFUNCTION("""COMPUTED_VALUE"""),1050000)</f>
        <v>1050000</v>
      </c>
    </row>
    <row r="460" spans="2:9" x14ac:dyDescent="0.3">
      <c r="B460" s="130" t="str">
        <f ca="1">IFERROR(__xludf.DUMMYFUNCTION("""COMPUTED_VALUE"""),"круг")</f>
        <v>круг</v>
      </c>
      <c r="C460" s="125" t="str">
        <f ca="1">IFERROR(__xludf.DUMMYFUNCTION("""COMPUTED_VALUE"""),"10Х17Н13М2Т")</f>
        <v>10Х17Н13М2Т</v>
      </c>
      <c r="D460" s="131">
        <f ca="1">IFERROR(__xludf.DUMMYFUNCTION("""COMPUTED_VALUE"""),230)</f>
        <v>230</v>
      </c>
      <c r="E460" s="131"/>
      <c r="F460" s="132" t="str">
        <f ca="1">IFERROR(__xludf.DUMMYFUNCTION("""COMPUTED_VALUE"""),"14-1-1530-75.УЗК")</f>
        <v>14-1-1530-75.УЗК</v>
      </c>
      <c r="G460" s="133">
        <f ca="1">IFERROR(__xludf.DUMMYFUNCTION("""COMPUTED_VALUE"""),0.419999999999999)</f>
        <v>0.41999999999999899</v>
      </c>
      <c r="H460" s="133"/>
      <c r="I460" s="134">
        <f ca="1">IFERROR(__xludf.DUMMYFUNCTION("""COMPUTED_VALUE"""),900000)</f>
        <v>900000</v>
      </c>
    </row>
    <row r="461" spans="2:9" x14ac:dyDescent="0.3">
      <c r="B461" s="130" t="str">
        <f ca="1">IFERROR(__xludf.DUMMYFUNCTION("""COMPUTED_VALUE"""),"круг")</f>
        <v>круг</v>
      </c>
      <c r="C461" s="125" t="str">
        <f ca="1">IFERROR(__xludf.DUMMYFUNCTION("""COMPUTED_VALUE"""),"10Х17Н13М2Т")</f>
        <v>10Х17Н13М2Т</v>
      </c>
      <c r="D461" s="131">
        <f ca="1">IFERROR(__xludf.DUMMYFUNCTION("""COMPUTED_VALUE"""),250)</f>
        <v>250</v>
      </c>
      <c r="E461" s="131"/>
      <c r="F461" s="132" t="str">
        <f ca="1">IFERROR(__xludf.DUMMYFUNCTION("""COMPUTED_VALUE"""),"14-1-1530-75.УЗК")</f>
        <v>14-1-1530-75.УЗК</v>
      </c>
      <c r="G461" s="133">
        <f ca="1">IFERROR(__xludf.DUMMYFUNCTION("""COMPUTED_VALUE"""),1.271)</f>
        <v>1.2709999999999999</v>
      </c>
      <c r="H461" s="133"/>
      <c r="I461" s="134">
        <f ca="1">IFERROR(__xludf.DUMMYFUNCTION("""COMPUTED_VALUE"""),900000)</f>
        <v>900000</v>
      </c>
    </row>
    <row r="462" spans="2:9" x14ac:dyDescent="0.3">
      <c r="B462" s="130" t="str">
        <f ca="1">IFERROR(__xludf.DUMMYFUNCTION("""COMPUTED_VALUE"""),"круг")</f>
        <v>круг</v>
      </c>
      <c r="C462" s="125" t="str">
        <f ca="1">IFERROR(__xludf.DUMMYFUNCTION("""COMPUTED_VALUE"""),"10Х17Н13М2Т")</f>
        <v>10Х17Н13М2Т</v>
      </c>
      <c r="D462" s="131">
        <f ca="1">IFERROR(__xludf.DUMMYFUNCTION("""COMPUTED_VALUE"""),270)</f>
        <v>270</v>
      </c>
      <c r="E462" s="131"/>
      <c r="F462" s="132" t="str">
        <f ca="1">IFERROR(__xludf.DUMMYFUNCTION("""COMPUTED_VALUE"""),"14-1-1530-75.УЗК")</f>
        <v>14-1-1530-75.УЗК</v>
      </c>
      <c r="G462" s="133">
        <f ca="1">IFERROR(__xludf.DUMMYFUNCTION("""COMPUTED_VALUE"""),0.852)</f>
        <v>0.85199999999999998</v>
      </c>
      <c r="H462" s="133"/>
      <c r="I462" s="134">
        <f ca="1">IFERROR(__xludf.DUMMYFUNCTION("""COMPUTED_VALUE"""),900000)</f>
        <v>900000</v>
      </c>
    </row>
    <row r="463" spans="2:9" x14ac:dyDescent="0.3">
      <c r="B463" s="130" t="str">
        <f ca="1">IFERROR(__xludf.DUMMYFUNCTION("""COMPUTED_VALUE"""),"круг")</f>
        <v>круг</v>
      </c>
      <c r="C463" s="125" t="str">
        <f ca="1">IFERROR(__xludf.DUMMYFUNCTION("""COMPUTED_VALUE"""),"10Х17Н13М2Т")</f>
        <v>10Х17Н13М2Т</v>
      </c>
      <c r="D463" s="131">
        <f ca="1">IFERROR(__xludf.DUMMYFUNCTION("""COMPUTED_VALUE"""),270)</f>
        <v>270</v>
      </c>
      <c r="E463" s="131"/>
      <c r="F463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3">
        <f ca="1">IFERROR(__xludf.DUMMYFUNCTION("""COMPUTED_VALUE"""),1.47)</f>
        <v>1.47</v>
      </c>
      <c r="H463" s="133"/>
      <c r="I463" s="134">
        <f ca="1">IFERROR(__xludf.DUMMYFUNCTION("""COMPUTED_VALUE"""),1050000)</f>
        <v>1050000</v>
      </c>
    </row>
    <row r="464" spans="2:9" x14ac:dyDescent="0.3">
      <c r="B464" s="130" t="str">
        <f ca="1">IFERROR(__xludf.DUMMYFUNCTION("""COMPUTED_VALUE"""),"круг")</f>
        <v>круг</v>
      </c>
      <c r="C464" s="125" t="str">
        <f ca="1">IFERROR(__xludf.DUMMYFUNCTION("""COMPUTED_VALUE"""),"10Х17Н13М2Т")</f>
        <v>10Х17Н13М2Т</v>
      </c>
      <c r="D464" s="131">
        <f ca="1">IFERROR(__xludf.DUMMYFUNCTION("""COMPUTED_VALUE"""),300)</f>
        <v>300</v>
      </c>
      <c r="E464" s="131"/>
      <c r="F464" s="132"/>
      <c r="G464" s="133">
        <f ca="1">IFERROR(__xludf.DUMMYFUNCTION("""COMPUTED_VALUE"""),1.736)</f>
        <v>1.736</v>
      </c>
      <c r="H464" s="133"/>
      <c r="I464" s="134">
        <f ca="1">IFERROR(__xludf.DUMMYFUNCTION("""COMPUTED_VALUE"""),1050000)</f>
        <v>1050000</v>
      </c>
    </row>
    <row r="465" spans="2:9" x14ac:dyDescent="0.3">
      <c r="B465" s="130" t="str">
        <f ca="1">IFERROR(__xludf.DUMMYFUNCTION("""COMPUTED_VALUE"""),"круг")</f>
        <v>круг</v>
      </c>
      <c r="C465" s="125" t="str">
        <f ca="1">IFERROR(__xludf.DUMMYFUNCTION("""COMPUTED_VALUE"""),"10Х17Н13М2Т")</f>
        <v>10Х17Н13М2Т</v>
      </c>
      <c r="D465" s="131">
        <f ca="1">IFERROR(__xludf.DUMMYFUNCTION("""COMPUTED_VALUE"""),300)</f>
        <v>300</v>
      </c>
      <c r="E465" s="131"/>
      <c r="F465" s="132" t="str">
        <f ca="1">IFERROR(__xludf.DUMMYFUNCTION("""COMPUTED_VALUE"""),"    ")</f>
        <v xml:space="preserve">    </v>
      </c>
      <c r="G465" s="133">
        <f ca="1">IFERROR(__xludf.DUMMYFUNCTION("""COMPUTED_VALUE"""),1.49)</f>
        <v>1.49</v>
      </c>
      <c r="H465" s="133"/>
      <c r="I465" s="134">
        <f ca="1">IFERROR(__xludf.DUMMYFUNCTION("""COMPUTED_VALUE"""),1050000)</f>
        <v>1050000</v>
      </c>
    </row>
    <row r="466" spans="2:9" x14ac:dyDescent="0.3">
      <c r="B466" s="130" t="str">
        <f ca="1">IFERROR(__xludf.DUMMYFUNCTION("""COMPUTED_VALUE"""),"круг")</f>
        <v>круг</v>
      </c>
      <c r="C466" s="125" t="str">
        <f ca="1">IFERROR(__xludf.DUMMYFUNCTION("""COMPUTED_VALUE"""),"10Х17Н13М2Т")</f>
        <v>10Х17Н13М2Т</v>
      </c>
      <c r="D466" s="131">
        <f ca="1">IFERROR(__xludf.DUMMYFUNCTION("""COMPUTED_VALUE"""),300)</f>
        <v>300</v>
      </c>
      <c r="E466" s="131"/>
      <c r="F466" s="132" t="str">
        <f ca="1">IFERROR(__xludf.DUMMYFUNCTION("""COMPUTED_VALUE"""),"гост 5949 ТУ 14-1-1530 без обточки")</f>
        <v>гост 5949 ТУ 14-1-1530 без обточки</v>
      </c>
      <c r="G466" s="133">
        <f ca="1">IFERROR(__xludf.DUMMYFUNCTION("""COMPUTED_VALUE"""),1.445)</f>
        <v>1.4450000000000001</v>
      </c>
      <c r="H466" s="133"/>
      <c r="I466" s="134">
        <f ca="1">IFERROR(__xludf.DUMMYFUNCTION("""COMPUTED_VALUE"""),1050000)</f>
        <v>1050000</v>
      </c>
    </row>
    <row r="467" spans="2:9" x14ac:dyDescent="0.3">
      <c r="B467" s="130" t="str">
        <f ca="1">IFERROR(__xludf.DUMMYFUNCTION("""COMPUTED_VALUE"""),"круг")</f>
        <v>круг</v>
      </c>
      <c r="C467" s="125" t="str">
        <f ca="1">IFERROR(__xludf.DUMMYFUNCTION("""COMPUTED_VALUE"""),"10Х17Н13М2Т")</f>
        <v>10Х17Н13М2Т</v>
      </c>
      <c r="D467" s="131">
        <f ca="1">IFERROR(__xludf.DUMMYFUNCTION("""COMPUTED_VALUE"""),320)</f>
        <v>320</v>
      </c>
      <c r="E467" s="131"/>
      <c r="F467" s="132" t="str">
        <f ca="1">IFERROR(__xludf.DUMMYFUNCTION("""COMPUTED_VALUE"""),"  ")</f>
        <v xml:space="preserve">  </v>
      </c>
      <c r="G467" s="133">
        <f ca="1">IFERROR(__xludf.DUMMYFUNCTION("""COMPUTED_VALUE"""),0.0330000000000001)</f>
        <v>3.3000000000000099E-2</v>
      </c>
      <c r="H467" s="133"/>
      <c r="I467" s="134">
        <f ca="1">IFERROR(__xludf.DUMMYFUNCTION("""COMPUTED_VALUE"""),1050000)</f>
        <v>1050000</v>
      </c>
    </row>
    <row r="468" spans="2:9" x14ac:dyDescent="0.3">
      <c r="B468" s="130" t="str">
        <f ca="1">IFERROR(__xludf.DUMMYFUNCTION("""COMPUTED_VALUE"""),"круг")</f>
        <v>круг</v>
      </c>
      <c r="C468" s="125" t="str">
        <f ca="1">IFERROR(__xludf.DUMMYFUNCTION("""COMPUTED_VALUE"""),"10Х17Н13М2Т")</f>
        <v>10Х17Н13М2Т</v>
      </c>
      <c r="D468" s="131">
        <f ca="1">IFERROR(__xludf.DUMMYFUNCTION("""COMPUTED_VALUE"""),340)</f>
        <v>340</v>
      </c>
      <c r="E468" s="131"/>
      <c r="F468" s="132"/>
      <c r="G468" s="133">
        <f ca="1">IFERROR(__xludf.DUMMYFUNCTION("""COMPUTED_VALUE"""),0.947)</f>
        <v>0.94699999999999995</v>
      </c>
      <c r="H468" s="133"/>
      <c r="I468" s="134">
        <f ca="1">IFERROR(__xludf.DUMMYFUNCTION("""COMPUTED_VALUE"""),1050000)</f>
        <v>1050000</v>
      </c>
    </row>
    <row r="469" spans="2:9" x14ac:dyDescent="0.3">
      <c r="B469" s="130" t="str">
        <f ca="1">IFERROR(__xludf.DUMMYFUNCTION("""COMPUTED_VALUE"""),"круг")</f>
        <v>круг</v>
      </c>
      <c r="C469" s="125" t="str">
        <f ca="1">IFERROR(__xludf.DUMMYFUNCTION("""COMPUTED_VALUE"""),"10Х17Н13М2Т")</f>
        <v>10Х17Н13М2Т</v>
      </c>
      <c r="D469" s="131">
        <f ca="1">IFERROR(__xludf.DUMMYFUNCTION("""COMPUTED_VALUE"""),340)</f>
        <v>340</v>
      </c>
      <c r="E469" s="131"/>
      <c r="F469" s="132"/>
      <c r="G469" s="133">
        <f ca="1">IFERROR(__xludf.DUMMYFUNCTION("""COMPUTED_VALUE"""),1.485)</f>
        <v>1.4850000000000001</v>
      </c>
      <c r="H469" s="133"/>
      <c r="I469" s="134">
        <f ca="1">IFERROR(__xludf.DUMMYFUNCTION("""COMPUTED_VALUE"""),1050000)</f>
        <v>1050000</v>
      </c>
    </row>
    <row r="470" spans="2:9" x14ac:dyDescent="0.3">
      <c r="B470" s="130" t="str">
        <f ca="1">IFERROR(__xludf.DUMMYFUNCTION("""COMPUTED_VALUE"""),"круг")</f>
        <v>круг</v>
      </c>
      <c r="C470" s="125" t="str">
        <f ca="1">IFERROR(__xludf.DUMMYFUNCTION("""COMPUTED_VALUE"""),"10Х17Н13М2Т")</f>
        <v>10Х17Н13М2Т</v>
      </c>
      <c r="D470" s="131">
        <f ca="1">IFERROR(__xludf.DUMMYFUNCTION("""COMPUTED_VALUE"""),340)</f>
        <v>340</v>
      </c>
      <c r="E470" s="131"/>
      <c r="F470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3">
        <f ca="1">IFERROR(__xludf.DUMMYFUNCTION("""COMPUTED_VALUE"""),1.115)</f>
        <v>1.115</v>
      </c>
      <c r="H470" s="133"/>
      <c r="I470" s="134">
        <f ca="1">IFERROR(__xludf.DUMMYFUNCTION("""COMPUTED_VALUE"""),1050000)</f>
        <v>1050000</v>
      </c>
    </row>
    <row r="471" spans="2:9" x14ac:dyDescent="0.3">
      <c r="B471" s="130" t="str">
        <f ca="1">IFERROR(__xludf.DUMMYFUNCTION("""COMPUTED_VALUE"""),"круг")</f>
        <v>круг</v>
      </c>
      <c r="C471" s="125" t="str">
        <f ca="1">IFERROR(__xludf.DUMMYFUNCTION("""COMPUTED_VALUE"""),"10Х17Н13М2Т")</f>
        <v>10Х17Н13М2Т</v>
      </c>
      <c r="D471" s="131">
        <f ca="1">IFERROR(__xludf.DUMMYFUNCTION("""COMPUTED_VALUE"""),340)</f>
        <v>340</v>
      </c>
      <c r="E471" s="131"/>
      <c r="F471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3">
        <f ca="1">IFERROR(__xludf.DUMMYFUNCTION("""COMPUTED_VALUE"""),2.95)</f>
        <v>2.95</v>
      </c>
      <c r="H471" s="133"/>
      <c r="I471" s="134">
        <f ca="1">IFERROR(__xludf.DUMMYFUNCTION("""COMPUTED_VALUE"""),1050000)</f>
        <v>1050000</v>
      </c>
    </row>
    <row r="472" spans="2:9" x14ac:dyDescent="0.3">
      <c r="B472" s="130" t="str">
        <f ca="1">IFERROR(__xludf.DUMMYFUNCTION("""COMPUTED_VALUE"""),"круг")</f>
        <v>круг</v>
      </c>
      <c r="C472" s="125" t="str">
        <f ca="1">IFERROR(__xludf.DUMMYFUNCTION("""COMPUTED_VALUE"""),"10Х17Н13М2Т")</f>
        <v>10Х17Н13М2Т</v>
      </c>
      <c r="D472" s="131">
        <f ca="1">IFERROR(__xludf.DUMMYFUNCTION("""COMPUTED_VALUE"""),360)</f>
        <v>360</v>
      </c>
      <c r="E472" s="131"/>
      <c r="F472" s="132"/>
      <c r="G472" s="133">
        <f ca="1">IFERROR(__xludf.DUMMYFUNCTION("""COMPUTED_VALUE"""),0.058)</f>
        <v>5.8000000000000003E-2</v>
      </c>
      <c r="H472" s="133"/>
      <c r="I472" s="134">
        <f ca="1">IFERROR(__xludf.DUMMYFUNCTION("""COMPUTED_VALUE"""),1050000)</f>
        <v>1050000</v>
      </c>
    </row>
    <row r="473" spans="2:9" x14ac:dyDescent="0.3">
      <c r="B473" s="130" t="str">
        <f ca="1">IFERROR(__xludf.DUMMYFUNCTION("""COMPUTED_VALUE"""),"круг")</f>
        <v>круг</v>
      </c>
      <c r="C473" s="125" t="str">
        <f ca="1">IFERROR(__xludf.DUMMYFUNCTION("""COMPUTED_VALUE"""),"10Х17Н13М2Т")</f>
        <v>10Х17Н13М2Т</v>
      </c>
      <c r="D473" s="131">
        <f ca="1">IFERROR(__xludf.DUMMYFUNCTION("""COMPUTED_VALUE"""),360)</f>
        <v>360</v>
      </c>
      <c r="E473" s="131"/>
      <c r="F473" s="132"/>
      <c r="G473" s="133">
        <f ca="1">IFERROR(__xludf.DUMMYFUNCTION("""COMPUTED_VALUE"""),0.108)</f>
        <v>0.108</v>
      </c>
      <c r="H473" s="133"/>
      <c r="I473" s="134">
        <f ca="1">IFERROR(__xludf.DUMMYFUNCTION("""COMPUTED_VALUE"""),1050000)</f>
        <v>1050000</v>
      </c>
    </row>
    <row r="474" spans="2:9" x14ac:dyDescent="0.3">
      <c r="B474" s="130" t="str">
        <f ca="1">IFERROR(__xludf.DUMMYFUNCTION("""COMPUTED_VALUE"""),"круг")</f>
        <v>круг</v>
      </c>
      <c r="C474" s="125" t="str">
        <f ca="1">IFERROR(__xludf.DUMMYFUNCTION("""COMPUTED_VALUE"""),"10Х17Н13М2Т")</f>
        <v>10Х17Н13М2Т</v>
      </c>
      <c r="D474" s="131">
        <f ca="1">IFERROR(__xludf.DUMMYFUNCTION("""COMPUTED_VALUE"""),360)</f>
        <v>360</v>
      </c>
      <c r="E474" s="131"/>
      <c r="F474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3">
        <f ca="1">IFERROR(__xludf.DUMMYFUNCTION("""COMPUTED_VALUE"""),2.224)</f>
        <v>2.2240000000000002</v>
      </c>
      <c r="H474" s="133"/>
      <c r="I474" s="134">
        <f ca="1">IFERROR(__xludf.DUMMYFUNCTION("""COMPUTED_VALUE"""),1050000)</f>
        <v>1050000</v>
      </c>
    </row>
    <row r="475" spans="2:9" x14ac:dyDescent="0.3">
      <c r="B475" s="130" t="str">
        <f ca="1">IFERROR(__xludf.DUMMYFUNCTION("""COMPUTED_VALUE"""),"круг")</f>
        <v>круг</v>
      </c>
      <c r="C475" s="125" t="str">
        <f ca="1">IFERROR(__xludf.DUMMYFUNCTION("""COMPUTED_VALUE"""),"10Х17Н13М2Т")</f>
        <v>10Х17Н13М2Т</v>
      </c>
      <c r="D475" s="131">
        <f ca="1">IFERROR(__xludf.DUMMYFUNCTION("""COMPUTED_VALUE"""),400)</f>
        <v>400</v>
      </c>
      <c r="E475" s="131"/>
      <c r="F475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3">
        <f ca="1">IFERROR(__xludf.DUMMYFUNCTION("""COMPUTED_VALUE"""),0.788999999999999)</f>
        <v>0.78899999999999904</v>
      </c>
      <c r="H475" s="133"/>
      <c r="I475" s="134">
        <f ca="1">IFERROR(__xludf.DUMMYFUNCTION("""COMPUTED_VALUE"""),1050000)</f>
        <v>1050000</v>
      </c>
    </row>
    <row r="476" spans="2:9" x14ac:dyDescent="0.3">
      <c r="B476" s="130" t="str">
        <f ca="1">IFERROR(__xludf.DUMMYFUNCTION("""COMPUTED_VALUE"""),"круг")</f>
        <v>круг</v>
      </c>
      <c r="C476" s="125" t="str">
        <f ca="1">IFERROR(__xludf.DUMMYFUNCTION("""COMPUTED_VALUE"""),"10Х17Н13М2Т")</f>
        <v>10Х17Н13М2Т</v>
      </c>
      <c r="D476" s="131">
        <f ca="1">IFERROR(__xludf.DUMMYFUNCTION("""COMPUTED_VALUE"""),500)</f>
        <v>500</v>
      </c>
      <c r="E476" s="131"/>
      <c r="F476" s="132" t="str">
        <f ca="1">IFERROR(__xludf.DUMMYFUNCTION("""COMPUTED_VALUE"""),"14-1-1530-75.УЗК, обточ")</f>
        <v>14-1-1530-75.УЗК, обточ</v>
      </c>
      <c r="G476" s="133">
        <f ca="1">IFERROR(__xludf.DUMMYFUNCTION("""COMPUTED_VALUE"""),3.92)</f>
        <v>3.92</v>
      </c>
      <c r="H476" s="133"/>
      <c r="I476" s="134">
        <f ca="1">IFERROR(__xludf.DUMMYFUNCTION("""COMPUTED_VALUE"""),900000)</f>
        <v>900000</v>
      </c>
    </row>
    <row r="477" spans="2:9" x14ac:dyDescent="0.3">
      <c r="B477" s="130" t="str">
        <f ca="1">IFERROR(__xludf.DUMMYFUNCTION("""COMPUTED_VALUE"""),"Круг")</f>
        <v>Круг</v>
      </c>
      <c r="C477" s="125" t="str">
        <f ca="1">IFERROR(__xludf.DUMMYFUNCTION("""COMPUTED_VALUE"""),"12х18н10т-ВД")</f>
        <v>12х18н10т-ВД</v>
      </c>
      <c r="D477" s="131">
        <f ca="1">IFERROR(__xludf.DUMMYFUNCTION("""COMPUTED_VALUE"""),22)</f>
        <v>22</v>
      </c>
      <c r="E477" s="131"/>
      <c r="F477" s="132" t="str">
        <f ca="1">IFERROR(__xludf.DUMMYFUNCTION("""COMPUTED_VALUE"""),"УЗК,  АТП  ТУ 14-1-3581")</f>
        <v>УЗК,  АТП  ТУ 14-1-3581</v>
      </c>
      <c r="G477" s="133">
        <f ca="1">IFERROR(__xludf.DUMMYFUNCTION("""COMPUTED_VALUE"""),0.069)</f>
        <v>6.9000000000000006E-2</v>
      </c>
      <c r="H477" s="133"/>
      <c r="I477" s="134">
        <f ca="1">IFERROR(__xludf.DUMMYFUNCTION("""COMPUTED_VALUE"""),950000)</f>
        <v>950000</v>
      </c>
    </row>
    <row r="478" spans="2:9" x14ac:dyDescent="0.3">
      <c r="B478" s="130" t="str">
        <f ca="1">IFERROR(__xludf.DUMMYFUNCTION("""COMPUTED_VALUE"""),"Круг")</f>
        <v>Круг</v>
      </c>
      <c r="C478" s="125" t="str">
        <f ca="1">IFERROR(__xludf.DUMMYFUNCTION("""COMPUTED_VALUE"""),"12х18н10т-ВД")</f>
        <v>12х18н10т-ВД</v>
      </c>
      <c r="D478" s="131">
        <f ca="1">IFERROR(__xludf.DUMMYFUNCTION("""COMPUTED_VALUE"""),34)</f>
        <v>34</v>
      </c>
      <c r="E478" s="131"/>
      <c r="F478" s="132" t="str">
        <f ca="1">IFERROR(__xludf.DUMMYFUNCTION("""COMPUTED_VALUE"""),"УЗК,  АТП  ТУ 14-1-3581")</f>
        <v>УЗК,  АТП  ТУ 14-1-3581</v>
      </c>
      <c r="G478" s="133">
        <f ca="1">IFERROR(__xludf.DUMMYFUNCTION("""COMPUTED_VALUE"""),0.009)</f>
        <v>8.9999999999999993E-3</v>
      </c>
      <c r="H478" s="133"/>
      <c r="I478" s="134">
        <f ca="1">IFERROR(__xludf.DUMMYFUNCTION("""COMPUTED_VALUE"""),950000)</f>
        <v>950000</v>
      </c>
    </row>
    <row r="479" spans="2:9" x14ac:dyDescent="0.3">
      <c r="B479" s="130" t="str">
        <f ca="1">IFERROR(__xludf.DUMMYFUNCTION("""COMPUTED_VALUE"""),"Круг")</f>
        <v>Круг</v>
      </c>
      <c r="C479" s="125" t="str">
        <f ca="1">IFERROR(__xludf.DUMMYFUNCTION("""COMPUTED_VALUE"""),"12х18н10т-ВД")</f>
        <v>12х18н10т-ВД</v>
      </c>
      <c r="D479" s="131">
        <f ca="1">IFERROR(__xludf.DUMMYFUNCTION("""COMPUTED_VALUE"""),40)</f>
        <v>40</v>
      </c>
      <c r="E479" s="131"/>
      <c r="F479" s="132" t="str">
        <f ca="1">IFERROR(__xludf.DUMMYFUNCTION("""COMPUTED_VALUE"""),"УЗК,  АТП  ТУ 14-1-3581")</f>
        <v>УЗК,  АТП  ТУ 14-1-3581</v>
      </c>
      <c r="G479" s="133">
        <f ca="1">IFERROR(__xludf.DUMMYFUNCTION("""COMPUTED_VALUE"""),0.093)</f>
        <v>9.2999999999999999E-2</v>
      </c>
      <c r="H479" s="133"/>
      <c r="I479" s="134">
        <f ca="1">IFERROR(__xludf.DUMMYFUNCTION("""COMPUTED_VALUE"""),950000)</f>
        <v>950000</v>
      </c>
    </row>
    <row r="480" spans="2:9" x14ac:dyDescent="0.3">
      <c r="B480" s="130" t="str">
        <f ca="1">IFERROR(__xludf.DUMMYFUNCTION("""COMPUTED_VALUE"""),"Круг")</f>
        <v>Круг</v>
      </c>
      <c r="C480" s="125" t="str">
        <f ca="1">IFERROR(__xludf.DUMMYFUNCTION("""COMPUTED_VALUE"""),"12х18н10т-ВД")</f>
        <v>12х18н10т-ВД</v>
      </c>
      <c r="D480" s="131">
        <f ca="1">IFERROR(__xludf.DUMMYFUNCTION("""COMPUTED_VALUE"""),50)</f>
        <v>50</v>
      </c>
      <c r="E480" s="131"/>
      <c r="F480" s="132" t="str">
        <f ca="1">IFERROR(__xludf.DUMMYFUNCTION("""COMPUTED_VALUE"""),"УЗК,  АТП  ТУ 14-1-3581")</f>
        <v>УЗК,  АТП  ТУ 14-1-3581</v>
      </c>
      <c r="G480" s="133">
        <f ca="1">IFERROR(__xludf.DUMMYFUNCTION("""COMPUTED_VALUE"""),0.156)</f>
        <v>0.156</v>
      </c>
      <c r="H480" s="133"/>
      <c r="I480" s="134">
        <f ca="1">IFERROR(__xludf.DUMMYFUNCTION("""COMPUTED_VALUE"""),950000)</f>
        <v>950000</v>
      </c>
    </row>
    <row r="481" spans="2:9" x14ac:dyDescent="0.3">
      <c r="B481" s="130" t="str">
        <f ca="1">IFERROR(__xludf.DUMMYFUNCTION("""COMPUTED_VALUE"""),"Круг")</f>
        <v>Круг</v>
      </c>
      <c r="C481" s="125" t="str">
        <f ca="1">IFERROR(__xludf.DUMMYFUNCTION("""COMPUTED_VALUE"""),"12х18н10т-ВД")</f>
        <v>12х18н10т-ВД</v>
      </c>
      <c r="D481" s="131">
        <f ca="1">IFERROR(__xludf.DUMMYFUNCTION("""COMPUTED_VALUE"""),56)</f>
        <v>56</v>
      </c>
      <c r="E481" s="131"/>
      <c r="F481" s="132" t="str">
        <f ca="1">IFERROR(__xludf.DUMMYFUNCTION("""COMPUTED_VALUE"""),"УЗК,  АТП  ТУ 14-1-3581")</f>
        <v>УЗК,  АТП  ТУ 14-1-3581</v>
      </c>
      <c r="G481" s="133">
        <f ca="1">IFERROR(__xludf.DUMMYFUNCTION("""COMPUTED_VALUE"""),0.143)</f>
        <v>0.14299999999999999</v>
      </c>
      <c r="H481" s="133"/>
      <c r="I481" s="134">
        <f ca="1">IFERROR(__xludf.DUMMYFUNCTION("""COMPUTED_VALUE"""),950000)</f>
        <v>950000</v>
      </c>
    </row>
    <row r="482" spans="2:9" x14ac:dyDescent="0.3">
      <c r="B482" s="130" t="str">
        <f ca="1">IFERROR(__xludf.DUMMYFUNCTION("""COMPUTED_VALUE"""),"Круг")</f>
        <v>Круг</v>
      </c>
      <c r="C482" s="125" t="str">
        <f ca="1">IFERROR(__xludf.DUMMYFUNCTION("""COMPUTED_VALUE"""),"12х18н10т-ВД")</f>
        <v>12х18н10т-ВД</v>
      </c>
      <c r="D482" s="131">
        <f ca="1">IFERROR(__xludf.DUMMYFUNCTION("""COMPUTED_VALUE"""),60)</f>
        <v>60</v>
      </c>
      <c r="E482" s="131"/>
      <c r="F482" s="132" t="str">
        <f ca="1">IFERROR(__xludf.DUMMYFUNCTION("""COMPUTED_VALUE"""),"УЗК,  АТП  ТУ 14-1-3581")</f>
        <v>УЗК,  АТП  ТУ 14-1-3581</v>
      </c>
      <c r="G482" s="133">
        <f ca="1">IFERROR(__xludf.DUMMYFUNCTION("""COMPUTED_VALUE"""),0.096)</f>
        <v>9.6000000000000002E-2</v>
      </c>
      <c r="H482" s="133"/>
      <c r="I482" s="134">
        <f ca="1">IFERROR(__xludf.DUMMYFUNCTION("""COMPUTED_VALUE"""),950000)</f>
        <v>950000</v>
      </c>
    </row>
    <row r="483" spans="2:9" x14ac:dyDescent="0.3">
      <c r="B483" s="130" t="str">
        <f ca="1">IFERROR(__xludf.DUMMYFUNCTION("""COMPUTED_VALUE"""),"Круг")</f>
        <v>Круг</v>
      </c>
      <c r="C483" s="125" t="str">
        <f ca="1">IFERROR(__xludf.DUMMYFUNCTION("""COMPUTED_VALUE"""),"12х18н10т-ВД")</f>
        <v>12х18н10т-ВД</v>
      </c>
      <c r="D483" s="131">
        <f ca="1">IFERROR(__xludf.DUMMYFUNCTION("""COMPUTED_VALUE"""),80)</f>
        <v>80</v>
      </c>
      <c r="E483" s="131"/>
      <c r="F483" s="132" t="str">
        <f ca="1">IFERROR(__xludf.DUMMYFUNCTION("""COMPUTED_VALUE"""),"УЗК,  АТП  ТУ 14-1-3581")</f>
        <v>УЗК,  АТП  ТУ 14-1-3581</v>
      </c>
      <c r="G483" s="133">
        <f ca="1">IFERROR(__xludf.DUMMYFUNCTION("""COMPUTED_VALUE"""),0.149)</f>
        <v>0.14899999999999999</v>
      </c>
      <c r="H483" s="133"/>
      <c r="I483" s="134">
        <f ca="1">IFERROR(__xludf.DUMMYFUNCTION("""COMPUTED_VALUE"""),950000)</f>
        <v>950000</v>
      </c>
    </row>
    <row r="484" spans="2:9" x14ac:dyDescent="0.3">
      <c r="B484" s="130" t="str">
        <f ca="1">IFERROR(__xludf.DUMMYFUNCTION("""COMPUTED_VALUE"""),"Круг")</f>
        <v>Круг</v>
      </c>
      <c r="C484" s="125" t="str">
        <f ca="1">IFERROR(__xludf.DUMMYFUNCTION("""COMPUTED_VALUE"""),"12х18н10т-ВД")</f>
        <v>12х18н10т-ВД</v>
      </c>
      <c r="D484" s="131">
        <f ca="1">IFERROR(__xludf.DUMMYFUNCTION("""COMPUTED_VALUE"""),10)</f>
        <v>10</v>
      </c>
      <c r="E484" s="131"/>
      <c r="F484" s="132" t="str">
        <f ca="1">IFERROR(__xludf.DUMMYFUNCTION("""COMPUTED_VALUE"""),"УЗК, МКК, АТП  ТУ 14-1-3581")</f>
        <v>УЗК, МКК, АТП  ТУ 14-1-3581</v>
      </c>
      <c r="G484" s="133">
        <f ca="1">IFERROR(__xludf.DUMMYFUNCTION("""COMPUTED_VALUE"""),0.112999999999999)</f>
        <v>0.112999999999999</v>
      </c>
      <c r="H484" s="133"/>
      <c r="I484" s="134">
        <f ca="1">IFERROR(__xludf.DUMMYFUNCTION("""COMPUTED_VALUE"""),1780000)</f>
        <v>1780000</v>
      </c>
    </row>
    <row r="485" spans="2:9" x14ac:dyDescent="0.3">
      <c r="B485" s="130" t="str">
        <f ca="1">IFERROR(__xludf.DUMMYFUNCTION("""COMPUTED_VALUE"""),"Круг")</f>
        <v>Круг</v>
      </c>
      <c r="C485" s="125" t="str">
        <f ca="1">IFERROR(__xludf.DUMMYFUNCTION("""COMPUTED_VALUE"""),"12х18н10т-ВД")</f>
        <v>12х18н10т-ВД</v>
      </c>
      <c r="D485" s="131">
        <f ca="1">IFERROR(__xludf.DUMMYFUNCTION("""COMPUTED_VALUE"""),10)</f>
        <v>10</v>
      </c>
      <c r="E485" s="131"/>
      <c r="F485" s="132" t="str">
        <f ca="1">IFERROR(__xludf.DUMMYFUNCTION("""COMPUTED_VALUE"""),"УЗК,  АТП  ТУ 14-1-3581")</f>
        <v>УЗК,  АТП  ТУ 14-1-3581</v>
      </c>
      <c r="G485" s="133">
        <f ca="1">IFERROR(__xludf.DUMMYFUNCTION("""COMPUTED_VALUE"""),0.08)</f>
        <v>0.08</v>
      </c>
      <c r="H485" s="133"/>
      <c r="I485" s="134">
        <f ca="1">IFERROR(__xludf.DUMMYFUNCTION("""COMPUTED_VALUE"""),1800000)</f>
        <v>1800000</v>
      </c>
    </row>
    <row r="486" spans="2:9" x14ac:dyDescent="0.3">
      <c r="B486" s="130" t="str">
        <f ca="1">IFERROR(__xludf.DUMMYFUNCTION("""COMPUTED_VALUE"""),"Круг")</f>
        <v>Круг</v>
      </c>
      <c r="C486" s="125" t="str">
        <f ca="1">IFERROR(__xludf.DUMMYFUNCTION("""COMPUTED_VALUE"""),"12х18н10т-ВД")</f>
        <v>12х18н10т-ВД</v>
      </c>
      <c r="D486" s="131">
        <f ca="1">IFERROR(__xludf.DUMMYFUNCTION("""COMPUTED_VALUE"""),10)</f>
        <v>10</v>
      </c>
      <c r="E486" s="131"/>
      <c r="F486" s="132" t="str">
        <f ca="1">IFERROR(__xludf.DUMMYFUNCTION("""COMPUTED_VALUE"""),"УЗК,  АТП  ТУ 14-1-3581")</f>
        <v>УЗК,  АТП  ТУ 14-1-3581</v>
      </c>
      <c r="G486" s="133">
        <f ca="1">IFERROR(__xludf.DUMMYFUNCTION("""COMPUTED_VALUE"""),0.344)</f>
        <v>0.34399999999999997</v>
      </c>
      <c r="H486" s="133"/>
      <c r="I486" s="134">
        <f ca="1">IFERROR(__xludf.DUMMYFUNCTION("""COMPUTED_VALUE"""),1800000)</f>
        <v>1800000</v>
      </c>
    </row>
    <row r="487" spans="2:9" x14ac:dyDescent="0.3">
      <c r="B487" s="130" t="str">
        <f ca="1">IFERROR(__xludf.DUMMYFUNCTION("""COMPUTED_VALUE"""),"Круг")</f>
        <v>Круг</v>
      </c>
      <c r="C487" s="125" t="str">
        <f ca="1">IFERROR(__xludf.DUMMYFUNCTION("""COMPUTED_VALUE"""),"12х18н10т-ВД")</f>
        <v>12х18н10т-ВД</v>
      </c>
      <c r="D487" s="131">
        <f ca="1">IFERROR(__xludf.DUMMYFUNCTION("""COMPUTED_VALUE"""),12)</f>
        <v>12</v>
      </c>
      <c r="E487" s="131"/>
      <c r="F487" s="132" t="str">
        <f ca="1">IFERROR(__xludf.DUMMYFUNCTION("""COMPUTED_VALUE"""),"УЗК, МКК, АТП  ТУ 14-1-377")</f>
        <v>УЗК, МКК, АТП  ТУ 14-1-377</v>
      </c>
      <c r="G487" s="133">
        <f ca="1">IFERROR(__xludf.DUMMYFUNCTION("""COMPUTED_VALUE"""),0.025)</f>
        <v>2.5000000000000001E-2</v>
      </c>
      <c r="H487" s="133"/>
      <c r="I487" s="134">
        <f ca="1">IFERROR(__xludf.DUMMYFUNCTION("""COMPUTED_VALUE"""),1600000)</f>
        <v>1600000</v>
      </c>
    </row>
    <row r="488" spans="2:9" x14ac:dyDescent="0.3">
      <c r="B488" s="130" t="str">
        <f ca="1">IFERROR(__xludf.DUMMYFUNCTION("""COMPUTED_VALUE"""),"Круг")</f>
        <v>Круг</v>
      </c>
      <c r="C488" s="125" t="str">
        <f ca="1">IFERROR(__xludf.DUMMYFUNCTION("""COMPUTED_VALUE"""),"12х18н10т-ВД")</f>
        <v>12х18н10т-ВД</v>
      </c>
      <c r="D488" s="131">
        <f ca="1">IFERROR(__xludf.DUMMYFUNCTION("""COMPUTED_VALUE"""),14)</f>
        <v>14</v>
      </c>
      <c r="E488" s="131"/>
      <c r="F488" s="132" t="str">
        <f ca="1">IFERROR(__xludf.DUMMYFUNCTION("""COMPUTED_VALUE"""),"ту 14-1-3581 РТ")</f>
        <v>ту 14-1-3581 РТ</v>
      </c>
      <c r="G488" s="133">
        <f ca="1">IFERROR(__xludf.DUMMYFUNCTION("""COMPUTED_VALUE"""),0.093)</f>
        <v>9.2999999999999999E-2</v>
      </c>
      <c r="H488" s="133"/>
      <c r="I488" s="134">
        <f ca="1">IFERROR(__xludf.DUMMYFUNCTION("""COMPUTED_VALUE"""),1650000)</f>
        <v>1650000</v>
      </c>
    </row>
    <row r="489" spans="2:9" x14ac:dyDescent="0.3">
      <c r="B489" s="130" t="str">
        <f ca="1">IFERROR(__xludf.DUMMYFUNCTION("""COMPUTED_VALUE"""),"Круг")</f>
        <v>Круг</v>
      </c>
      <c r="C489" s="125" t="str">
        <f ca="1">IFERROR(__xludf.DUMMYFUNCTION("""COMPUTED_VALUE"""),"12х18н10т-ВД")</f>
        <v>12х18н10т-ВД</v>
      </c>
      <c r="D489" s="131">
        <f ca="1">IFERROR(__xludf.DUMMYFUNCTION("""COMPUTED_VALUE"""),15)</f>
        <v>15</v>
      </c>
      <c r="E489" s="131"/>
      <c r="F489" s="132" t="str">
        <f ca="1">IFERROR(__xludf.DUMMYFUNCTION("""COMPUTED_VALUE"""),"УЗК, МКК, АТП  ТУ 14-1-3581")</f>
        <v>УЗК, МКК, АТП  ТУ 14-1-3581</v>
      </c>
      <c r="G489" s="133">
        <f ca="1">IFERROR(__xludf.DUMMYFUNCTION("""COMPUTED_VALUE"""),0.0529999999999999)</f>
        <v>5.2999999999999901E-2</v>
      </c>
      <c r="H489" s="133"/>
      <c r="I489" s="134">
        <f ca="1">IFERROR(__xludf.DUMMYFUNCTION("""COMPUTED_VALUE"""),1800000)</f>
        <v>1800000</v>
      </c>
    </row>
    <row r="490" spans="2:9" x14ac:dyDescent="0.3">
      <c r="B490" s="130" t="str">
        <f ca="1">IFERROR(__xludf.DUMMYFUNCTION("""COMPUTED_VALUE"""),"Круг")</f>
        <v>Круг</v>
      </c>
      <c r="C490" s="125" t="str">
        <f ca="1">IFERROR(__xludf.DUMMYFUNCTION("""COMPUTED_VALUE"""),"12х18н10т-ВД")</f>
        <v>12х18н10т-ВД</v>
      </c>
      <c r="D490" s="131">
        <f ca="1">IFERROR(__xludf.DUMMYFUNCTION("""COMPUTED_VALUE"""),25)</f>
        <v>25</v>
      </c>
      <c r="E490" s="131"/>
      <c r="F490" s="132" t="str">
        <f ca="1">IFERROR(__xludf.DUMMYFUNCTION("""COMPUTED_VALUE"""),"УЗК, МКК, АТП  ТУ 14-1-3581")</f>
        <v>УЗК, МКК, АТП  ТУ 14-1-3581</v>
      </c>
      <c r="G490" s="133">
        <f ca="1">IFERROR(__xludf.DUMMYFUNCTION("""COMPUTED_VALUE"""),0.0769999999999999)</f>
        <v>7.6999999999999902E-2</v>
      </c>
      <c r="H490" s="133"/>
      <c r="I490" s="134">
        <f ca="1">IFERROR(__xludf.DUMMYFUNCTION("""COMPUTED_VALUE"""),1800000)</f>
        <v>1800000</v>
      </c>
    </row>
    <row r="491" spans="2:9" x14ac:dyDescent="0.3">
      <c r="B491" s="130" t="str">
        <f ca="1">IFERROR(__xludf.DUMMYFUNCTION("""COMPUTED_VALUE"""),"Круг")</f>
        <v>Круг</v>
      </c>
      <c r="C491" s="125" t="str">
        <f ca="1">IFERROR(__xludf.DUMMYFUNCTION("""COMPUTED_VALUE"""),"12х18н10т-ВД")</f>
        <v>12х18н10т-ВД</v>
      </c>
      <c r="D491" s="131">
        <f ca="1">IFERROR(__xludf.DUMMYFUNCTION("""COMPUTED_VALUE"""),25)</f>
        <v>25</v>
      </c>
      <c r="E491" s="131"/>
      <c r="F491" s="132" t="str">
        <f ca="1">IFERROR(__xludf.DUMMYFUNCTION("""COMPUTED_VALUE"""),"УЗК,  АТП  ТУ 14-1-3581")</f>
        <v>УЗК,  АТП  ТУ 14-1-3581</v>
      </c>
      <c r="G491" s="133">
        <f ca="1">IFERROR(__xludf.DUMMYFUNCTION("""COMPUTED_VALUE"""),0.123)</f>
        <v>0.123</v>
      </c>
      <c r="H491" s="133"/>
      <c r="I491" s="134">
        <f ca="1">IFERROR(__xludf.DUMMYFUNCTION("""COMPUTED_VALUE"""),1800000)</f>
        <v>1800000</v>
      </c>
    </row>
    <row r="492" spans="2:9" x14ac:dyDescent="0.3">
      <c r="B492" s="130" t="str">
        <f ca="1">IFERROR(__xludf.DUMMYFUNCTION("""COMPUTED_VALUE"""),"Круг")</f>
        <v>Круг</v>
      </c>
      <c r="C492" s="125" t="str">
        <f ca="1">IFERROR(__xludf.DUMMYFUNCTION("""COMPUTED_VALUE"""),"12х18н10т-ВД")</f>
        <v>12х18н10т-ВД</v>
      </c>
      <c r="D492" s="131">
        <f ca="1">IFERROR(__xludf.DUMMYFUNCTION("""COMPUTED_VALUE"""),25)</f>
        <v>25</v>
      </c>
      <c r="E492" s="131"/>
      <c r="F492" s="132" t="str">
        <f ca="1">IFERROR(__xludf.DUMMYFUNCTION("""COMPUTED_VALUE"""),"УЗК,  АТП  ТУ 14-1-3581")</f>
        <v>УЗК,  АТП  ТУ 14-1-3581</v>
      </c>
      <c r="G492" s="133">
        <f ca="1">IFERROR(__xludf.DUMMYFUNCTION("""COMPUTED_VALUE"""),0.43)</f>
        <v>0.43</v>
      </c>
      <c r="H492" s="133"/>
      <c r="I492" s="134">
        <f ca="1">IFERROR(__xludf.DUMMYFUNCTION("""COMPUTED_VALUE"""),1800000)</f>
        <v>1800000</v>
      </c>
    </row>
    <row r="493" spans="2:9" x14ac:dyDescent="0.3">
      <c r="B493" s="130" t="str">
        <f ca="1">IFERROR(__xludf.DUMMYFUNCTION("""COMPUTED_VALUE"""),"Круг")</f>
        <v>Круг</v>
      </c>
      <c r="C493" s="125" t="str">
        <f ca="1">IFERROR(__xludf.DUMMYFUNCTION("""COMPUTED_VALUE"""),"12х18н10т-ВД")</f>
        <v>12х18н10т-ВД</v>
      </c>
      <c r="D493" s="131">
        <f ca="1">IFERROR(__xludf.DUMMYFUNCTION("""COMPUTED_VALUE"""),25)</f>
        <v>25</v>
      </c>
      <c r="E493" s="131"/>
      <c r="F493" s="132" t="str">
        <f ca="1">IFERROR(__xludf.DUMMYFUNCTION("""COMPUTED_VALUE"""),"УЗК,  АТП  ТУ 14-1-3581")</f>
        <v>УЗК,  АТП  ТУ 14-1-3581</v>
      </c>
      <c r="G493" s="133">
        <f ca="1">IFERROR(__xludf.DUMMYFUNCTION("""COMPUTED_VALUE"""),0.288)</f>
        <v>0.28799999999999998</v>
      </c>
      <c r="H493" s="133"/>
      <c r="I493" s="134">
        <f ca="1">IFERROR(__xludf.DUMMYFUNCTION("""COMPUTED_VALUE"""),1800000)</f>
        <v>1800000</v>
      </c>
    </row>
    <row r="494" spans="2:9" x14ac:dyDescent="0.3">
      <c r="B494" s="130" t="str">
        <f ca="1">IFERROR(__xludf.DUMMYFUNCTION("""COMPUTED_VALUE"""),"Круг")</f>
        <v>Круг</v>
      </c>
      <c r="C494" s="125" t="str">
        <f ca="1">IFERROR(__xludf.DUMMYFUNCTION("""COMPUTED_VALUE"""),"12х18н10т-ВД")</f>
        <v>12х18н10т-ВД</v>
      </c>
      <c r="D494" s="131">
        <f ca="1">IFERROR(__xludf.DUMMYFUNCTION("""COMPUTED_VALUE"""),30)</f>
        <v>30</v>
      </c>
      <c r="E494" s="131"/>
      <c r="F494" s="132" t="str">
        <f ca="1">IFERROR(__xludf.DUMMYFUNCTION("""COMPUTED_VALUE"""),"УЗК,  АТП  ТУ 14-1-3581")</f>
        <v>УЗК,  АТП  ТУ 14-1-3581</v>
      </c>
      <c r="G494" s="133">
        <f ca="1">IFERROR(__xludf.DUMMYFUNCTION("""COMPUTED_VALUE"""),0.271999999999999)</f>
        <v>0.27199999999999902</v>
      </c>
      <c r="H494" s="133"/>
      <c r="I494" s="134">
        <f ca="1">IFERROR(__xludf.DUMMYFUNCTION("""COMPUTED_VALUE"""),1800000)</f>
        <v>1800000</v>
      </c>
    </row>
    <row r="495" spans="2:9" x14ac:dyDescent="0.3">
      <c r="B495" s="130" t="str">
        <f ca="1">IFERROR(__xludf.DUMMYFUNCTION("""COMPUTED_VALUE"""),"Круг")</f>
        <v>Круг</v>
      </c>
      <c r="C495" s="125" t="str">
        <f ca="1">IFERROR(__xludf.DUMMYFUNCTION("""COMPUTED_VALUE"""),"12х18н10т-ВД")</f>
        <v>12х18н10т-ВД</v>
      </c>
      <c r="D495" s="131">
        <f ca="1">IFERROR(__xludf.DUMMYFUNCTION("""COMPUTED_VALUE"""),30)</f>
        <v>30</v>
      </c>
      <c r="E495" s="131"/>
      <c r="F495" s="132" t="str">
        <f ca="1">IFERROR(__xludf.DUMMYFUNCTION("""COMPUTED_VALUE"""),"УЗК,  АТП  ТУ 14-1-3581 , 2ГП, обточ.")</f>
        <v>УЗК,  АТП  ТУ 14-1-3581 , 2ГП, обточ.</v>
      </c>
      <c r="G495" s="133">
        <f ca="1">IFERROR(__xludf.DUMMYFUNCTION("""COMPUTED_VALUE"""),0.203)</f>
        <v>0.20300000000000001</v>
      </c>
      <c r="H495" s="133"/>
      <c r="I495" s="134">
        <f ca="1">IFERROR(__xludf.DUMMYFUNCTION("""COMPUTED_VALUE"""),1800000)</f>
        <v>1800000</v>
      </c>
    </row>
    <row r="496" spans="2:9" x14ac:dyDescent="0.3">
      <c r="B496" s="130" t="str">
        <f ca="1">IFERROR(__xludf.DUMMYFUNCTION("""COMPUTED_VALUE"""),"Круг")</f>
        <v>Круг</v>
      </c>
      <c r="C496" s="125" t="str">
        <f ca="1">IFERROR(__xludf.DUMMYFUNCTION("""COMPUTED_VALUE"""),"12х18н10т-ВД")</f>
        <v>12х18н10т-ВД</v>
      </c>
      <c r="D496" s="131">
        <f ca="1">IFERROR(__xludf.DUMMYFUNCTION("""COMPUTED_VALUE"""),30)</f>
        <v>30</v>
      </c>
      <c r="E496" s="131"/>
      <c r="F496" s="132" t="str">
        <f ca="1">IFERROR(__xludf.DUMMYFUNCTION("""COMPUTED_VALUE"""),"УЗК,  АТП  ТУ 14-1-3581 , 2ГП, обточ.")</f>
        <v>УЗК,  АТП  ТУ 14-1-3581 , 2ГП, обточ.</v>
      </c>
      <c r="G496" s="133">
        <f ca="1">IFERROR(__xludf.DUMMYFUNCTION("""COMPUTED_VALUE"""),0.0149999999999999)</f>
        <v>1.4999999999999901E-2</v>
      </c>
      <c r="H496" s="133"/>
      <c r="I496" s="134">
        <f ca="1">IFERROR(__xludf.DUMMYFUNCTION("""COMPUTED_VALUE"""),1800000)</f>
        <v>1800000</v>
      </c>
    </row>
    <row r="497" spans="2:9" x14ac:dyDescent="0.3">
      <c r="B497" s="130" t="str">
        <f ca="1">IFERROR(__xludf.DUMMYFUNCTION("""COMPUTED_VALUE"""),"Круг")</f>
        <v>Круг</v>
      </c>
      <c r="C497" s="125" t="str">
        <f ca="1">IFERROR(__xludf.DUMMYFUNCTION("""COMPUTED_VALUE"""),"12х18н10т-ВД")</f>
        <v>12х18н10т-ВД</v>
      </c>
      <c r="D497" s="131">
        <f ca="1">IFERROR(__xludf.DUMMYFUNCTION("""COMPUTED_VALUE"""),30)</f>
        <v>30</v>
      </c>
      <c r="E497" s="131"/>
      <c r="F497" s="132" t="str">
        <f ca="1">IFERROR(__xludf.DUMMYFUNCTION("""COMPUTED_VALUE"""),"УЗК,  АТП  ТУ 14-1-3581 , 2ГП, обточ.")</f>
        <v>УЗК,  АТП  ТУ 14-1-3581 , 2ГП, обточ.</v>
      </c>
      <c r="G497" s="133">
        <f ca="1">IFERROR(__xludf.DUMMYFUNCTION("""COMPUTED_VALUE"""),0.069)</f>
        <v>6.9000000000000006E-2</v>
      </c>
      <c r="H497" s="133"/>
      <c r="I497" s="134">
        <f ca="1">IFERROR(__xludf.DUMMYFUNCTION("""COMPUTED_VALUE"""),1800000)</f>
        <v>1800000</v>
      </c>
    </row>
    <row r="498" spans="2:9" x14ac:dyDescent="0.3">
      <c r="B498" s="130" t="str">
        <f ca="1">IFERROR(__xludf.DUMMYFUNCTION("""COMPUTED_VALUE"""),"Круг")</f>
        <v>Круг</v>
      </c>
      <c r="C498" s="125" t="str">
        <f ca="1">IFERROR(__xludf.DUMMYFUNCTION("""COMPUTED_VALUE"""),"12х18н10т-ВД")</f>
        <v>12х18н10т-ВД</v>
      </c>
      <c r="D498" s="131">
        <f ca="1">IFERROR(__xludf.DUMMYFUNCTION("""COMPUTED_VALUE"""),30)</f>
        <v>30</v>
      </c>
      <c r="E498" s="131"/>
      <c r="F498" s="132" t="str">
        <f ca="1">IFERROR(__xludf.DUMMYFUNCTION("""COMPUTED_VALUE"""),"УЗК,  АТП  ТУ 14-1-3581 , 2ГП, обточ.")</f>
        <v>УЗК,  АТП  ТУ 14-1-3581 , 2ГП, обточ.</v>
      </c>
      <c r="G498" s="133">
        <f ca="1">IFERROR(__xludf.DUMMYFUNCTION("""COMPUTED_VALUE"""),0.124)</f>
        <v>0.124</v>
      </c>
      <c r="H498" s="133"/>
      <c r="I498" s="134">
        <f ca="1">IFERROR(__xludf.DUMMYFUNCTION("""COMPUTED_VALUE"""),1800000)</f>
        <v>1800000</v>
      </c>
    </row>
    <row r="499" spans="2:9" x14ac:dyDescent="0.3">
      <c r="B499" s="130" t="str">
        <f ca="1">IFERROR(__xludf.DUMMYFUNCTION("""COMPUTED_VALUE"""),"Круг")</f>
        <v>Круг</v>
      </c>
      <c r="C499" s="125" t="str">
        <f ca="1">IFERROR(__xludf.DUMMYFUNCTION("""COMPUTED_VALUE"""),"12х18н10т-ВД")</f>
        <v>12х18н10т-ВД</v>
      </c>
      <c r="D499" s="131">
        <f ca="1">IFERROR(__xludf.DUMMYFUNCTION("""COMPUTED_VALUE"""),30)</f>
        <v>30</v>
      </c>
      <c r="E499" s="131"/>
      <c r="F499" s="132" t="str">
        <f ca="1">IFERROR(__xludf.DUMMYFUNCTION("""COMPUTED_VALUE"""),"УЗК,  АТП  ТУ 14-1-3581 , 2ГП, обточ.")</f>
        <v>УЗК,  АТП  ТУ 14-1-3581 , 2ГП, обточ.</v>
      </c>
      <c r="G499" s="133">
        <f ca="1">IFERROR(__xludf.DUMMYFUNCTION("""COMPUTED_VALUE"""),0.187)</f>
        <v>0.187</v>
      </c>
      <c r="H499" s="133"/>
      <c r="I499" s="134">
        <f ca="1">IFERROR(__xludf.DUMMYFUNCTION("""COMPUTED_VALUE"""),1800000)</f>
        <v>1800000</v>
      </c>
    </row>
    <row r="500" spans="2:9" x14ac:dyDescent="0.3">
      <c r="B500" s="130" t="str">
        <f ca="1">IFERROR(__xludf.DUMMYFUNCTION("""COMPUTED_VALUE"""),"Круг")</f>
        <v>Круг</v>
      </c>
      <c r="C500" s="125" t="str">
        <f ca="1">IFERROR(__xludf.DUMMYFUNCTION("""COMPUTED_VALUE"""),"12х18н10т-ВД")</f>
        <v>12х18н10т-ВД</v>
      </c>
      <c r="D500" s="131">
        <f ca="1">IFERROR(__xludf.DUMMYFUNCTION("""COMPUTED_VALUE"""),30)</f>
        <v>30</v>
      </c>
      <c r="E500" s="131"/>
      <c r="F500" s="132" t="str">
        <f ca="1">IFERROR(__xludf.DUMMYFUNCTION("""COMPUTED_VALUE"""),"УЗК,  АТП  ТУ 14-1-3581 , 2ГП, обточ.")</f>
        <v>УЗК,  АТП  ТУ 14-1-3581 , 2ГП, обточ.</v>
      </c>
      <c r="G500" s="133">
        <f ca="1">IFERROR(__xludf.DUMMYFUNCTION("""COMPUTED_VALUE"""),0.194)</f>
        <v>0.19400000000000001</v>
      </c>
      <c r="H500" s="133"/>
      <c r="I500" s="134">
        <f ca="1">IFERROR(__xludf.DUMMYFUNCTION("""COMPUTED_VALUE"""),1800000)</f>
        <v>1800000</v>
      </c>
    </row>
    <row r="501" spans="2:9" x14ac:dyDescent="0.3">
      <c r="B501" s="130" t="str">
        <f ca="1">IFERROR(__xludf.DUMMYFUNCTION("""COMPUTED_VALUE"""),"Круг")</f>
        <v>Круг</v>
      </c>
      <c r="C501" s="125" t="str">
        <f ca="1">IFERROR(__xludf.DUMMYFUNCTION("""COMPUTED_VALUE"""),"12х18н10т-ВД")</f>
        <v>12х18н10т-ВД</v>
      </c>
      <c r="D501" s="131">
        <f ca="1">IFERROR(__xludf.DUMMYFUNCTION("""COMPUTED_VALUE"""),30)</f>
        <v>30</v>
      </c>
      <c r="E501" s="131"/>
      <c r="F501" s="132" t="str">
        <f ca="1">IFERROR(__xludf.DUMMYFUNCTION("""COMPUTED_VALUE"""),"УЗК,  АТП  ТУ 14-1-3581 , 2ГП, обточ.")</f>
        <v>УЗК,  АТП  ТУ 14-1-3581 , 2ГП, обточ.</v>
      </c>
      <c r="G501" s="133">
        <f ca="1">IFERROR(__xludf.DUMMYFUNCTION("""COMPUTED_VALUE"""),0.383)</f>
        <v>0.38300000000000001</v>
      </c>
      <c r="H501" s="133"/>
      <c r="I501" s="134">
        <f ca="1">IFERROR(__xludf.DUMMYFUNCTION("""COMPUTED_VALUE"""),1800000)</f>
        <v>1800000</v>
      </c>
    </row>
    <row r="502" spans="2:9" x14ac:dyDescent="0.3">
      <c r="B502" s="130" t="str">
        <f ca="1">IFERROR(__xludf.DUMMYFUNCTION("""COMPUTED_VALUE"""),"Круг")</f>
        <v>Круг</v>
      </c>
      <c r="C502" s="125" t="str">
        <f ca="1">IFERROR(__xludf.DUMMYFUNCTION("""COMPUTED_VALUE"""),"12х18н10т-ВД")</f>
        <v>12х18н10т-ВД</v>
      </c>
      <c r="D502" s="131">
        <f ca="1">IFERROR(__xludf.DUMMYFUNCTION("""COMPUTED_VALUE"""),36)</f>
        <v>36</v>
      </c>
      <c r="E502" s="131"/>
      <c r="F502" s="132" t="str">
        <f ca="1">IFERROR(__xludf.DUMMYFUNCTION("""COMPUTED_VALUE"""),"УЗК,  АТП  ТУ 14-1-3581 , 2ГП, обточ.")</f>
        <v>УЗК,  АТП  ТУ 14-1-3581 , 2ГП, обточ.</v>
      </c>
      <c r="G502" s="133">
        <f ca="1">IFERROR(__xludf.DUMMYFUNCTION("""COMPUTED_VALUE"""),0.134)</f>
        <v>0.13400000000000001</v>
      </c>
      <c r="H502" s="133"/>
      <c r="I502" s="134">
        <f ca="1">IFERROR(__xludf.DUMMYFUNCTION("""COMPUTED_VALUE"""),1600000)</f>
        <v>1600000</v>
      </c>
    </row>
    <row r="503" spans="2:9" x14ac:dyDescent="0.3">
      <c r="B503" s="130" t="str">
        <f ca="1">IFERROR(__xludf.DUMMYFUNCTION("""COMPUTED_VALUE"""),"Круг")</f>
        <v>Круг</v>
      </c>
      <c r="C503" s="125" t="str">
        <f ca="1">IFERROR(__xludf.DUMMYFUNCTION("""COMPUTED_VALUE"""),"12х18н10т-ВД")</f>
        <v>12х18н10т-ВД</v>
      </c>
      <c r="D503" s="131">
        <f ca="1">IFERROR(__xludf.DUMMYFUNCTION("""COMPUTED_VALUE"""),36)</f>
        <v>36</v>
      </c>
      <c r="E503" s="131"/>
      <c r="F503" s="132" t="str">
        <f ca="1">IFERROR(__xludf.DUMMYFUNCTION("""COMPUTED_VALUE"""),"УЗК,  АТП  ТУ 14-1-3581 , 2ГП, обточ.")</f>
        <v>УЗК,  АТП  ТУ 14-1-3581 , 2ГП, обточ.</v>
      </c>
      <c r="G503" s="133">
        <f ca="1">IFERROR(__xludf.DUMMYFUNCTION("""COMPUTED_VALUE"""),0.02)</f>
        <v>0.02</v>
      </c>
      <c r="H503" s="133"/>
      <c r="I503" s="134">
        <f ca="1">IFERROR(__xludf.DUMMYFUNCTION("""COMPUTED_VALUE"""),1600000)</f>
        <v>1600000</v>
      </c>
    </row>
    <row r="504" spans="2:9" x14ac:dyDescent="0.3">
      <c r="B504" s="130" t="str">
        <f ca="1">IFERROR(__xludf.DUMMYFUNCTION("""COMPUTED_VALUE"""),"Круг")</f>
        <v>Круг</v>
      </c>
      <c r="C504" s="125" t="str">
        <f ca="1">IFERROR(__xludf.DUMMYFUNCTION("""COMPUTED_VALUE"""),"12х18н10т-ВД")</f>
        <v>12х18н10т-ВД</v>
      </c>
      <c r="D504" s="131">
        <f ca="1">IFERROR(__xludf.DUMMYFUNCTION("""COMPUTED_VALUE"""),36)</f>
        <v>36</v>
      </c>
      <c r="E504" s="131"/>
      <c r="F504" s="132" t="str">
        <f ca="1">IFERROR(__xludf.DUMMYFUNCTION("""COMPUTED_VALUE"""),"УЗК,  АТП  ТУ 14-1-3581 , 2ГП, обточ.")</f>
        <v>УЗК,  АТП  ТУ 14-1-3581 , 2ГП, обточ.</v>
      </c>
      <c r="G504" s="133">
        <f ca="1">IFERROR(__xludf.DUMMYFUNCTION("""COMPUTED_VALUE"""),0.136)</f>
        <v>0.13600000000000001</v>
      </c>
      <c r="H504" s="133"/>
      <c r="I504" s="134">
        <f ca="1">IFERROR(__xludf.DUMMYFUNCTION("""COMPUTED_VALUE"""),1600000)</f>
        <v>1600000</v>
      </c>
    </row>
    <row r="505" spans="2:9" x14ac:dyDescent="0.3">
      <c r="B505" s="130" t="str">
        <f ca="1">IFERROR(__xludf.DUMMYFUNCTION("""COMPUTED_VALUE"""),"Круг")</f>
        <v>Круг</v>
      </c>
      <c r="C505" s="125" t="str">
        <f ca="1">IFERROR(__xludf.DUMMYFUNCTION("""COMPUTED_VALUE"""),"12х18н10т-ВД")</f>
        <v>12х18н10т-ВД</v>
      </c>
      <c r="D505" s="131">
        <f ca="1">IFERROR(__xludf.DUMMYFUNCTION("""COMPUTED_VALUE"""),36)</f>
        <v>36</v>
      </c>
      <c r="E505" s="131"/>
      <c r="F505" s="132" t="str">
        <f ca="1">IFERROR(__xludf.DUMMYFUNCTION("""COMPUTED_VALUE"""),"УЗК,  АТП  ТУ 14-1-3581 , 2ГП, обточ.")</f>
        <v>УЗК,  АТП  ТУ 14-1-3581 , 2ГП, обточ.</v>
      </c>
      <c r="G505" s="133">
        <f ca="1">IFERROR(__xludf.DUMMYFUNCTION("""COMPUTED_VALUE"""),0.253)</f>
        <v>0.253</v>
      </c>
      <c r="H505" s="133"/>
      <c r="I505" s="134">
        <f ca="1">IFERROR(__xludf.DUMMYFUNCTION("""COMPUTED_VALUE"""),1600000)</f>
        <v>1600000</v>
      </c>
    </row>
    <row r="506" spans="2:9" x14ac:dyDescent="0.3">
      <c r="B506" s="130" t="str">
        <f ca="1">IFERROR(__xludf.DUMMYFUNCTION("""COMPUTED_VALUE"""),"Круг")</f>
        <v>Круг</v>
      </c>
      <c r="C506" s="125" t="str">
        <f ca="1">IFERROR(__xludf.DUMMYFUNCTION("""COMPUTED_VALUE"""),"12х18н10т-ВД")</f>
        <v>12х18н10т-ВД</v>
      </c>
      <c r="D506" s="131">
        <f ca="1">IFERROR(__xludf.DUMMYFUNCTION("""COMPUTED_VALUE"""),36)</f>
        <v>36</v>
      </c>
      <c r="E506" s="131"/>
      <c r="F506" s="132" t="str">
        <f ca="1">IFERROR(__xludf.DUMMYFUNCTION("""COMPUTED_VALUE"""),"УЗК,  АТП  ТУ 14-1-3581 , 2ГП, обточ.")</f>
        <v>УЗК,  АТП  ТУ 14-1-3581 , 2ГП, обточ.</v>
      </c>
      <c r="G506" s="133">
        <f ca="1">IFERROR(__xludf.DUMMYFUNCTION("""COMPUTED_VALUE"""),0.34)</f>
        <v>0.34</v>
      </c>
      <c r="H506" s="133"/>
      <c r="I506" s="134">
        <f ca="1">IFERROR(__xludf.DUMMYFUNCTION("""COMPUTED_VALUE"""),1600000)</f>
        <v>1600000</v>
      </c>
    </row>
    <row r="507" spans="2:9" x14ac:dyDescent="0.3">
      <c r="B507" s="130" t="str">
        <f ca="1">IFERROR(__xludf.DUMMYFUNCTION("""COMPUTED_VALUE"""),"Круг")</f>
        <v>Круг</v>
      </c>
      <c r="C507" s="125" t="str">
        <f ca="1">IFERROR(__xludf.DUMMYFUNCTION("""COMPUTED_VALUE"""),"12х18н10т-ВД")</f>
        <v>12х18н10т-ВД</v>
      </c>
      <c r="D507" s="131">
        <f ca="1">IFERROR(__xludf.DUMMYFUNCTION("""COMPUTED_VALUE"""),40)</f>
        <v>40</v>
      </c>
      <c r="E507" s="131"/>
      <c r="F507" s="132" t="str">
        <f ca="1">IFERROR(__xludf.DUMMYFUNCTION("""COMPUTED_VALUE"""),"УЗК,  АТП  ТУ 14-1-3581 , 2ГП, обточ.")</f>
        <v>УЗК,  АТП  ТУ 14-1-3581 , 2ГП, обточ.</v>
      </c>
      <c r="G507" s="133">
        <f ca="1">IFERROR(__xludf.DUMMYFUNCTION("""COMPUTED_VALUE"""),0.293)</f>
        <v>0.29299999999999998</v>
      </c>
      <c r="H507" s="133"/>
      <c r="I507" s="134">
        <f ca="1">IFERROR(__xludf.DUMMYFUNCTION("""COMPUTED_VALUE"""),1600000)</f>
        <v>1600000</v>
      </c>
    </row>
    <row r="508" spans="2:9" x14ac:dyDescent="0.3">
      <c r="B508" s="130" t="str">
        <f ca="1">IFERROR(__xludf.DUMMYFUNCTION("""COMPUTED_VALUE"""),"Круг")</f>
        <v>Круг</v>
      </c>
      <c r="C508" s="125" t="str">
        <f ca="1">IFERROR(__xludf.DUMMYFUNCTION("""COMPUTED_VALUE"""),"12х18н10т-ВД")</f>
        <v>12х18н10т-ВД</v>
      </c>
      <c r="D508" s="131">
        <f ca="1">IFERROR(__xludf.DUMMYFUNCTION("""COMPUTED_VALUE"""),50)</f>
        <v>50</v>
      </c>
      <c r="E508" s="131"/>
      <c r="F508" s="132" t="str">
        <f ca="1">IFERROR(__xludf.DUMMYFUNCTION("""COMPUTED_VALUE"""),"УЗК,  АТП  ТУ 14-1-3581")</f>
        <v>УЗК,  АТП  ТУ 14-1-3581</v>
      </c>
      <c r="G508" s="133">
        <f ca="1">IFERROR(__xludf.DUMMYFUNCTION("""COMPUTED_VALUE"""),0.733999999999999)</f>
        <v>0.73399999999999899</v>
      </c>
      <c r="H508" s="133"/>
      <c r="I508" s="134">
        <f ca="1">IFERROR(__xludf.DUMMYFUNCTION("""COMPUTED_VALUE"""),1800000)</f>
        <v>1800000</v>
      </c>
    </row>
    <row r="509" spans="2:9" x14ac:dyDescent="0.3">
      <c r="B509" s="130" t="str">
        <f ca="1">IFERROR(__xludf.DUMMYFUNCTION("""COMPUTED_VALUE"""),"Круг")</f>
        <v>Круг</v>
      </c>
      <c r="C509" s="125" t="str">
        <f ca="1">IFERROR(__xludf.DUMMYFUNCTION("""COMPUTED_VALUE"""),"12х18н10т-ВД")</f>
        <v>12х18н10т-ВД</v>
      </c>
      <c r="D509" s="131">
        <f ca="1">IFERROR(__xludf.DUMMYFUNCTION("""COMPUTED_VALUE"""),50)</f>
        <v>50</v>
      </c>
      <c r="E509" s="131"/>
      <c r="F509" s="132" t="str">
        <f ca="1">IFERROR(__xludf.DUMMYFUNCTION("""COMPUTED_VALUE"""),"УЗК,  АТП  ТУ 14-1-3581 , 2ГП, обточ.")</f>
        <v>УЗК,  АТП  ТУ 14-1-3581 , 2ГП, обточ.</v>
      </c>
      <c r="G509" s="133">
        <f ca="1">IFERROR(__xludf.DUMMYFUNCTION("""COMPUTED_VALUE"""),0.541)</f>
        <v>0.54100000000000004</v>
      </c>
      <c r="H509" s="133"/>
      <c r="I509" s="134">
        <f ca="1">IFERROR(__xludf.DUMMYFUNCTION("""COMPUTED_VALUE"""),1800000)</f>
        <v>1800000</v>
      </c>
    </row>
    <row r="510" spans="2:9" x14ac:dyDescent="0.3">
      <c r="B510" s="130" t="str">
        <f ca="1">IFERROR(__xludf.DUMMYFUNCTION("""COMPUTED_VALUE"""),"Круг")</f>
        <v>Круг</v>
      </c>
      <c r="C510" s="125" t="str">
        <f ca="1">IFERROR(__xludf.DUMMYFUNCTION("""COMPUTED_VALUE"""),"12х18н10т-ВД")</f>
        <v>12х18н10т-ВД</v>
      </c>
      <c r="D510" s="131">
        <f ca="1">IFERROR(__xludf.DUMMYFUNCTION("""COMPUTED_VALUE"""),50)</f>
        <v>50</v>
      </c>
      <c r="E510" s="131"/>
      <c r="F510" s="132" t="str">
        <f ca="1">IFERROR(__xludf.DUMMYFUNCTION("""COMPUTED_VALUE"""),"УЗК,  АТП  ТУ 14-1-3581 , 2ГП, обточ.")</f>
        <v>УЗК,  АТП  ТУ 14-1-3581 , 2ГП, обточ.</v>
      </c>
      <c r="G510" s="133">
        <f ca="1">IFERROR(__xludf.DUMMYFUNCTION("""COMPUTED_VALUE"""),0.562)</f>
        <v>0.56200000000000006</v>
      </c>
      <c r="H510" s="133"/>
      <c r="I510" s="134">
        <f ca="1">IFERROR(__xludf.DUMMYFUNCTION("""COMPUTED_VALUE"""),1800000)</f>
        <v>1800000</v>
      </c>
    </row>
    <row r="511" spans="2:9" x14ac:dyDescent="0.3">
      <c r="B511" s="130" t="str">
        <f ca="1">IFERROR(__xludf.DUMMYFUNCTION("""COMPUTED_VALUE"""),"Круг")</f>
        <v>Круг</v>
      </c>
      <c r="C511" s="125" t="str">
        <f ca="1">IFERROR(__xludf.DUMMYFUNCTION("""COMPUTED_VALUE"""),"12х18н10т-ВД")</f>
        <v>12х18н10т-ВД</v>
      </c>
      <c r="D511" s="131">
        <f ca="1">IFERROR(__xludf.DUMMYFUNCTION("""COMPUTED_VALUE"""),56)</f>
        <v>56</v>
      </c>
      <c r="E511" s="131"/>
      <c r="F511" s="132" t="str">
        <f ca="1">IFERROR(__xludf.DUMMYFUNCTION("""COMPUTED_VALUE"""),"УЗК,  АТП  ТУ 14-1-3581")</f>
        <v>УЗК,  АТП  ТУ 14-1-3581</v>
      </c>
      <c r="G511" s="133">
        <f ca="1">IFERROR(__xludf.DUMMYFUNCTION("""COMPUTED_VALUE"""),0.128999999999999)</f>
        <v>0.128999999999999</v>
      </c>
      <c r="H511" s="133"/>
      <c r="I511" s="134">
        <f ca="1">IFERROR(__xludf.DUMMYFUNCTION("""COMPUTED_VALUE"""),1800000)</f>
        <v>1800000</v>
      </c>
    </row>
    <row r="512" spans="2:9" x14ac:dyDescent="0.3">
      <c r="B512" s="130" t="str">
        <f ca="1">IFERROR(__xludf.DUMMYFUNCTION("""COMPUTED_VALUE"""),"Круг")</f>
        <v>Круг</v>
      </c>
      <c r="C512" s="125" t="str">
        <f ca="1">IFERROR(__xludf.DUMMYFUNCTION("""COMPUTED_VALUE"""),"12х18н10т-ВД")</f>
        <v>12х18н10т-ВД</v>
      </c>
      <c r="D512" s="131">
        <f ca="1">IFERROR(__xludf.DUMMYFUNCTION("""COMPUTED_VALUE"""),56)</f>
        <v>56</v>
      </c>
      <c r="E512" s="131"/>
      <c r="F512" s="132" t="str">
        <f ca="1">IFERROR(__xludf.DUMMYFUNCTION("""COMPUTED_VALUE"""),"УЗК,  АТП  ТУ 14-1-3581 , 2ГП, обточ.")</f>
        <v>УЗК,  АТП  ТУ 14-1-3581 , 2ГП, обточ.</v>
      </c>
      <c r="G512" s="133">
        <f ca="1">IFERROR(__xludf.DUMMYFUNCTION("""COMPUTED_VALUE"""),0.381)</f>
        <v>0.38100000000000001</v>
      </c>
      <c r="H512" s="133"/>
      <c r="I512" s="134">
        <f ca="1">IFERROR(__xludf.DUMMYFUNCTION("""COMPUTED_VALUE"""),1800000)</f>
        <v>1800000</v>
      </c>
    </row>
    <row r="513" spans="2:9" x14ac:dyDescent="0.3">
      <c r="B513" s="130" t="str">
        <f ca="1">IFERROR(__xludf.DUMMYFUNCTION("""COMPUTED_VALUE"""),"Круг")</f>
        <v>Круг</v>
      </c>
      <c r="C513" s="125" t="str">
        <f ca="1">IFERROR(__xludf.DUMMYFUNCTION("""COMPUTED_VALUE"""),"12х18н10т-ВД")</f>
        <v>12х18н10т-ВД</v>
      </c>
      <c r="D513" s="131">
        <f ca="1">IFERROR(__xludf.DUMMYFUNCTION("""COMPUTED_VALUE"""),56)</f>
        <v>56</v>
      </c>
      <c r="E513" s="131"/>
      <c r="F513" s="132" t="str">
        <f ca="1">IFERROR(__xludf.DUMMYFUNCTION("""COMPUTED_VALUE"""),"УЗК,  АТП  ТУ 14-1-3581 , 2ГП, обточ.")</f>
        <v>УЗК,  АТП  ТУ 14-1-3581 , 2ГП, обточ.</v>
      </c>
      <c r="G513" s="133">
        <f ca="1">IFERROR(__xludf.DUMMYFUNCTION("""COMPUTED_VALUE"""),0.765)</f>
        <v>0.76500000000000001</v>
      </c>
      <c r="H513" s="133"/>
      <c r="I513" s="134">
        <f ca="1">IFERROR(__xludf.DUMMYFUNCTION("""COMPUTED_VALUE"""),1800000)</f>
        <v>1800000</v>
      </c>
    </row>
    <row r="514" spans="2:9" x14ac:dyDescent="0.3">
      <c r="B514" s="130" t="str">
        <f ca="1">IFERROR(__xludf.DUMMYFUNCTION("""COMPUTED_VALUE"""),"Круг")</f>
        <v>Круг</v>
      </c>
      <c r="C514" s="125" t="str">
        <f ca="1">IFERROR(__xludf.DUMMYFUNCTION("""COMPUTED_VALUE"""),"12х18н10т-ВД")</f>
        <v>12х18н10т-ВД</v>
      </c>
      <c r="D514" s="131">
        <f ca="1">IFERROR(__xludf.DUMMYFUNCTION("""COMPUTED_VALUE"""),60)</f>
        <v>60</v>
      </c>
      <c r="E514" s="131"/>
      <c r="F514" s="132" t="str">
        <f ca="1">IFERROR(__xludf.DUMMYFUNCTION("""COMPUTED_VALUE"""),"УЗК,  АТП  ТУ 14-1-3581")</f>
        <v>УЗК,  АТП  ТУ 14-1-3581</v>
      </c>
      <c r="G514" s="133">
        <f ca="1">IFERROR(__xludf.DUMMYFUNCTION("""COMPUTED_VALUE"""),0.555999999999999)</f>
        <v>0.55599999999999905</v>
      </c>
      <c r="H514" s="133"/>
      <c r="I514" s="134">
        <f ca="1">IFERROR(__xludf.DUMMYFUNCTION("""COMPUTED_VALUE"""),1800000)</f>
        <v>1800000</v>
      </c>
    </row>
    <row r="515" spans="2:9" x14ac:dyDescent="0.3">
      <c r="B515" s="130" t="str">
        <f ca="1">IFERROR(__xludf.DUMMYFUNCTION("""COMPUTED_VALUE"""),"Круг")</f>
        <v>Круг</v>
      </c>
      <c r="C515" s="125" t="str">
        <f ca="1">IFERROR(__xludf.DUMMYFUNCTION("""COMPUTED_VALUE"""),"12х18н10т-ВД")</f>
        <v>12х18н10т-ВД</v>
      </c>
      <c r="D515" s="131">
        <f ca="1">IFERROR(__xludf.DUMMYFUNCTION("""COMPUTED_VALUE"""),65)</f>
        <v>65</v>
      </c>
      <c r="E515" s="131"/>
      <c r="F515" s="132" t="str">
        <f ca="1">IFERROR(__xludf.DUMMYFUNCTION("""COMPUTED_VALUE"""),"УЗК,  АТП  ТУ 14-1-3581")</f>
        <v>УЗК,  АТП  ТУ 14-1-3581</v>
      </c>
      <c r="G515" s="133">
        <f ca="1">IFERROR(__xludf.DUMMYFUNCTION("""COMPUTED_VALUE"""),1.277)</f>
        <v>1.2769999999999999</v>
      </c>
      <c r="H515" s="133"/>
      <c r="I515" s="134">
        <f ca="1">IFERROR(__xludf.DUMMYFUNCTION("""COMPUTED_VALUE"""),1800000)</f>
        <v>1800000</v>
      </c>
    </row>
    <row r="516" spans="2:9" x14ac:dyDescent="0.3">
      <c r="B516" s="130" t="str">
        <f ca="1">IFERROR(__xludf.DUMMYFUNCTION("""COMPUTED_VALUE"""),"Круг")</f>
        <v>Круг</v>
      </c>
      <c r="C516" s="125" t="str">
        <f ca="1">IFERROR(__xludf.DUMMYFUNCTION("""COMPUTED_VALUE"""),"12х18н10т-ВД")</f>
        <v>12х18н10т-ВД</v>
      </c>
      <c r="D516" s="131">
        <f ca="1">IFERROR(__xludf.DUMMYFUNCTION("""COMPUTED_VALUE"""),70)</f>
        <v>70</v>
      </c>
      <c r="E516" s="131"/>
      <c r="F516" s="132" t="str">
        <f ca="1">IFERROR(__xludf.DUMMYFUNCTION("""COMPUTED_VALUE"""),"УЗК,  АТП  ТУ 14-1-3581")</f>
        <v>УЗК,  АТП  ТУ 14-1-3581</v>
      </c>
      <c r="G516" s="133">
        <f ca="1">IFERROR(__xludf.DUMMYFUNCTION("""COMPUTED_VALUE"""),0.0209999999999999)</f>
        <v>2.0999999999999901E-2</v>
      </c>
      <c r="H516" s="133"/>
      <c r="I516" s="134">
        <f ca="1">IFERROR(__xludf.DUMMYFUNCTION("""COMPUTED_VALUE"""),1800000)</f>
        <v>1800000</v>
      </c>
    </row>
    <row r="517" spans="2:9" x14ac:dyDescent="0.3">
      <c r="B517" s="130" t="str">
        <f ca="1">IFERROR(__xludf.DUMMYFUNCTION("""COMPUTED_VALUE"""),"Круг")</f>
        <v>Круг</v>
      </c>
      <c r="C517" s="125" t="str">
        <f ca="1">IFERROR(__xludf.DUMMYFUNCTION("""COMPUTED_VALUE"""),"12х18н10т-ВД")</f>
        <v>12х18н10т-ВД</v>
      </c>
      <c r="D517" s="131">
        <f ca="1">IFERROR(__xludf.DUMMYFUNCTION("""COMPUTED_VALUE"""),70)</f>
        <v>70</v>
      </c>
      <c r="E517" s="131"/>
      <c r="F517" s="132" t="str">
        <f ca="1">IFERROR(__xludf.DUMMYFUNCTION("""COMPUTED_VALUE"""),"УЗК,  АТП  ТУ 14-1-3581 , 2ГП, обточ.")</f>
        <v>УЗК,  АТП  ТУ 14-1-3581 , 2ГП, обточ.</v>
      </c>
      <c r="G517" s="133">
        <f ca="1">IFERROR(__xludf.DUMMYFUNCTION("""COMPUTED_VALUE"""),0.58)</f>
        <v>0.57999999999999996</v>
      </c>
      <c r="H517" s="133"/>
      <c r="I517" s="134">
        <f ca="1">IFERROR(__xludf.DUMMYFUNCTION("""COMPUTED_VALUE"""),1600000)</f>
        <v>1600000</v>
      </c>
    </row>
    <row r="518" spans="2:9" x14ac:dyDescent="0.3">
      <c r="B518" s="130" t="str">
        <f ca="1">IFERROR(__xludf.DUMMYFUNCTION("""COMPUTED_VALUE"""),"Круг")</f>
        <v>Круг</v>
      </c>
      <c r="C518" s="125" t="str">
        <f ca="1">IFERROR(__xludf.DUMMYFUNCTION("""COMPUTED_VALUE"""),"12х18н10т-ВД")</f>
        <v>12х18н10т-ВД</v>
      </c>
      <c r="D518" s="131">
        <f ca="1">IFERROR(__xludf.DUMMYFUNCTION("""COMPUTED_VALUE"""),80)</f>
        <v>80</v>
      </c>
      <c r="E518" s="131"/>
      <c r="F518" s="132" t="str">
        <f ca="1">IFERROR(__xludf.DUMMYFUNCTION("""COMPUTED_VALUE"""),"УЗК,  АТП  ТУ 14-1-3581 , 2ГП, обточ.")</f>
        <v>УЗК,  АТП  ТУ 14-1-3581 , 2ГП, обточ.</v>
      </c>
      <c r="G518" s="133">
        <f ca="1">IFERROR(__xludf.DUMMYFUNCTION("""COMPUTED_VALUE"""),0.542999999999999)</f>
        <v>0.54299999999999904</v>
      </c>
      <c r="H518" s="133"/>
      <c r="I518" s="134">
        <f ca="1">IFERROR(__xludf.DUMMYFUNCTION("""COMPUTED_VALUE"""),1800000)</f>
        <v>1800000</v>
      </c>
    </row>
    <row r="519" spans="2:9" x14ac:dyDescent="0.3">
      <c r="B519" s="130" t="str">
        <f ca="1">IFERROR(__xludf.DUMMYFUNCTION("""COMPUTED_VALUE"""),"Круг")</f>
        <v>Круг</v>
      </c>
      <c r="C519" s="125" t="str">
        <f ca="1">IFERROR(__xludf.DUMMYFUNCTION("""COMPUTED_VALUE"""),"12х18н10т-ВД")</f>
        <v>12х18н10т-ВД</v>
      </c>
      <c r="D519" s="131">
        <f ca="1">IFERROR(__xludf.DUMMYFUNCTION("""COMPUTED_VALUE"""),80)</f>
        <v>80</v>
      </c>
      <c r="E519" s="131"/>
      <c r="F519" s="132" t="str">
        <f ca="1">IFERROR(__xludf.DUMMYFUNCTION("""COMPUTED_VALUE"""),"УЗК,  АТП  ТУ 14-1-3581 , 2ГП, обточ.")</f>
        <v>УЗК,  АТП  ТУ 14-1-3581 , 2ГП, обточ.</v>
      </c>
      <c r="G519" s="133">
        <f ca="1">IFERROR(__xludf.DUMMYFUNCTION("""COMPUTED_VALUE"""),0.752)</f>
        <v>0.752</v>
      </c>
      <c r="H519" s="133"/>
      <c r="I519" s="134">
        <f ca="1">IFERROR(__xludf.DUMMYFUNCTION("""COMPUTED_VALUE"""),1800000)</f>
        <v>1800000</v>
      </c>
    </row>
    <row r="520" spans="2:9" x14ac:dyDescent="0.3">
      <c r="B520" s="130" t="str">
        <f ca="1">IFERROR(__xludf.DUMMYFUNCTION("""COMPUTED_VALUE"""),"Круг")</f>
        <v>Круг</v>
      </c>
      <c r="C520" s="125" t="str">
        <f ca="1">IFERROR(__xludf.DUMMYFUNCTION("""COMPUTED_VALUE"""),"12х18н10т-ВД")</f>
        <v>12х18н10т-ВД</v>
      </c>
      <c r="D520" s="131">
        <f ca="1">IFERROR(__xludf.DUMMYFUNCTION("""COMPUTED_VALUE"""),90)</f>
        <v>90</v>
      </c>
      <c r="E520" s="131"/>
      <c r="F520" s="132" t="str">
        <f ca="1">IFERROR(__xludf.DUMMYFUNCTION("""COMPUTED_VALUE"""),"УЗК,  АТП  ТУ 14-1-3581")</f>
        <v>УЗК,  АТП  ТУ 14-1-3581</v>
      </c>
      <c r="G520" s="133">
        <f ca="1">IFERROR(__xludf.DUMMYFUNCTION("""COMPUTED_VALUE"""),0.944)</f>
        <v>0.94399999999999995</v>
      </c>
      <c r="H520" s="133"/>
      <c r="I520" s="134">
        <f ca="1">IFERROR(__xludf.DUMMYFUNCTION("""COMPUTED_VALUE"""),1800000)</f>
        <v>1800000</v>
      </c>
    </row>
    <row r="521" spans="2:9" x14ac:dyDescent="0.3">
      <c r="B521" s="130" t="str">
        <f ca="1">IFERROR(__xludf.DUMMYFUNCTION("""COMPUTED_VALUE"""),"Круг")</f>
        <v>Круг</v>
      </c>
      <c r="C521" s="125" t="str">
        <f ca="1">IFERROR(__xludf.DUMMYFUNCTION("""COMPUTED_VALUE"""),"12х18н10т-ВД")</f>
        <v>12х18н10т-ВД</v>
      </c>
      <c r="D521" s="131">
        <f ca="1">IFERROR(__xludf.DUMMYFUNCTION("""COMPUTED_VALUE"""),90)</f>
        <v>90</v>
      </c>
      <c r="E521" s="131"/>
      <c r="F521" s="132" t="str">
        <f ca="1">IFERROR(__xludf.DUMMYFUNCTION("""COMPUTED_VALUE"""),"УЗК,  АТП  ТУ 14-1-3581 , 2ГП, обточ.")</f>
        <v>УЗК,  АТП  ТУ 14-1-3581 , 2ГП, обточ.</v>
      </c>
      <c r="G521" s="133">
        <f ca="1">IFERROR(__xludf.DUMMYFUNCTION("""COMPUTED_VALUE"""),0.46)</f>
        <v>0.46</v>
      </c>
      <c r="H521" s="133"/>
      <c r="I521" s="134">
        <f ca="1">IFERROR(__xludf.DUMMYFUNCTION("""COMPUTED_VALUE"""),1800000)</f>
        <v>1800000</v>
      </c>
    </row>
    <row r="522" spans="2:9" x14ac:dyDescent="0.3">
      <c r="B522" s="130" t="str">
        <f ca="1">IFERROR(__xludf.DUMMYFUNCTION("""COMPUTED_VALUE"""),"Круг")</f>
        <v>Круг</v>
      </c>
      <c r="C522" s="125" t="str">
        <f ca="1">IFERROR(__xludf.DUMMYFUNCTION("""COMPUTED_VALUE"""),"12х18н10т-ВД")</f>
        <v>12х18н10т-ВД</v>
      </c>
      <c r="D522" s="131">
        <f ca="1">IFERROR(__xludf.DUMMYFUNCTION("""COMPUTED_VALUE"""),90)</f>
        <v>90</v>
      </c>
      <c r="E522" s="131"/>
      <c r="F522" s="132" t="str">
        <f ca="1">IFERROR(__xludf.DUMMYFUNCTION("""COMPUTED_VALUE"""),"УЗК,  АТП  ТУ 14-1-3581 , 2ГП, обточ.")</f>
        <v>УЗК,  АТП  ТУ 14-1-3581 , 2ГП, обточ.</v>
      </c>
      <c r="G522" s="133">
        <f ca="1">IFERROR(__xludf.DUMMYFUNCTION("""COMPUTED_VALUE"""),1.097)</f>
        <v>1.097</v>
      </c>
      <c r="H522" s="133"/>
      <c r="I522" s="134">
        <f ca="1">IFERROR(__xludf.DUMMYFUNCTION("""COMPUTED_VALUE"""),1800000)</f>
        <v>1800000</v>
      </c>
    </row>
    <row r="523" spans="2:9" x14ac:dyDescent="0.3">
      <c r="B523" s="130" t="str">
        <f ca="1">IFERROR(__xludf.DUMMYFUNCTION("""COMPUTED_VALUE"""),"Круг")</f>
        <v>Круг</v>
      </c>
      <c r="C523" s="125" t="str">
        <f ca="1">IFERROR(__xludf.DUMMYFUNCTION("""COMPUTED_VALUE"""),"12х18н10т-ВД")</f>
        <v>12х18н10т-ВД</v>
      </c>
      <c r="D523" s="131">
        <f ca="1">IFERROR(__xludf.DUMMYFUNCTION("""COMPUTED_VALUE"""),100)</f>
        <v>100</v>
      </c>
      <c r="E523" s="131"/>
      <c r="F523" s="132" t="str">
        <f ca="1">IFERROR(__xludf.DUMMYFUNCTION("""COMPUTED_VALUE"""),"УЗК,  АТП  ТУ 14-1-3581")</f>
        <v>УЗК,  АТП  ТУ 14-1-3581</v>
      </c>
      <c r="G523" s="133">
        <f ca="1">IFERROR(__xludf.DUMMYFUNCTION("""COMPUTED_VALUE"""),1.32999999999999)</f>
        <v>1.3299999999999901</v>
      </c>
      <c r="H523" s="133"/>
      <c r="I523" s="134">
        <f ca="1">IFERROR(__xludf.DUMMYFUNCTION("""COMPUTED_VALUE"""),1800000)</f>
        <v>1800000</v>
      </c>
    </row>
    <row r="524" spans="2:9" x14ac:dyDescent="0.3">
      <c r="B524" s="130" t="str">
        <f ca="1">IFERROR(__xludf.DUMMYFUNCTION("""COMPUTED_VALUE"""),"Круг")</f>
        <v>Круг</v>
      </c>
      <c r="C524" s="125" t="str">
        <f ca="1">IFERROR(__xludf.DUMMYFUNCTION("""COMPUTED_VALUE"""),"12х18н10т-ВД")</f>
        <v>12х18н10т-ВД</v>
      </c>
      <c r="D524" s="131">
        <f ca="1">IFERROR(__xludf.DUMMYFUNCTION("""COMPUTED_VALUE"""),110)</f>
        <v>110</v>
      </c>
      <c r="E524" s="131"/>
      <c r="F524" s="132" t="str">
        <f ca="1">IFERROR(__xludf.DUMMYFUNCTION("""COMPUTED_VALUE"""),"УЗК,  АТП  ТУ 14-1-3581 , 2ГП, обточ.")</f>
        <v>УЗК,  АТП  ТУ 14-1-3581 , 2ГП, обточ.</v>
      </c>
      <c r="G524" s="133">
        <f ca="1">IFERROR(__xludf.DUMMYFUNCTION("""COMPUTED_VALUE"""),0.818)</f>
        <v>0.81799999999999995</v>
      </c>
      <c r="H524" s="133"/>
      <c r="I524" s="134">
        <f ca="1">IFERROR(__xludf.DUMMYFUNCTION("""COMPUTED_VALUE"""),1600000)</f>
        <v>1600000</v>
      </c>
    </row>
    <row r="525" spans="2:9" x14ac:dyDescent="0.3">
      <c r="B525" s="130" t="str">
        <f ca="1">IFERROR(__xludf.DUMMYFUNCTION("""COMPUTED_VALUE"""),"Круг")</f>
        <v>Круг</v>
      </c>
      <c r="C525" s="125" t="str">
        <f ca="1">IFERROR(__xludf.DUMMYFUNCTION("""COMPUTED_VALUE"""),"12х18н10т-ВД")</f>
        <v>12х18н10т-ВД</v>
      </c>
      <c r="D525" s="131">
        <f ca="1">IFERROR(__xludf.DUMMYFUNCTION("""COMPUTED_VALUE"""),110)</f>
        <v>110</v>
      </c>
      <c r="E525" s="131"/>
      <c r="F525" s="132" t="str">
        <f ca="1">IFERROR(__xludf.DUMMYFUNCTION("""COMPUTED_VALUE"""),"УЗК,  АТП  ТУ 14-1-3581 , 2ГП, обточ.")</f>
        <v>УЗК,  АТП  ТУ 14-1-3581 , 2ГП, обточ.</v>
      </c>
      <c r="G525" s="133">
        <f ca="1">IFERROR(__xludf.DUMMYFUNCTION("""COMPUTED_VALUE"""),0.609)</f>
        <v>0.60899999999999999</v>
      </c>
      <c r="H525" s="133"/>
      <c r="I525" s="134">
        <f ca="1">IFERROR(__xludf.DUMMYFUNCTION("""COMPUTED_VALUE"""),1600000)</f>
        <v>1600000</v>
      </c>
    </row>
    <row r="526" spans="2:9" x14ac:dyDescent="0.3">
      <c r="B526" s="130" t="str">
        <f ca="1">IFERROR(__xludf.DUMMYFUNCTION("""COMPUTED_VALUE"""),"Круг")</f>
        <v>Круг</v>
      </c>
      <c r="C526" s="125" t="str">
        <f ca="1">IFERROR(__xludf.DUMMYFUNCTION("""COMPUTED_VALUE"""),"12х18н10т-ВД")</f>
        <v>12х18н10т-ВД</v>
      </c>
      <c r="D526" s="131">
        <f ca="1">IFERROR(__xludf.DUMMYFUNCTION("""COMPUTED_VALUE"""),120)</f>
        <v>120</v>
      </c>
      <c r="E526" s="131"/>
      <c r="F526" s="132" t="str">
        <f ca="1">IFERROR(__xludf.DUMMYFUNCTION("""COMPUTED_VALUE"""),"УЗК,  АТП  ТУ 14-1-3581")</f>
        <v>УЗК,  АТП  ТУ 14-1-3581</v>
      </c>
      <c r="G526" s="133">
        <f ca="1">IFERROR(__xludf.DUMMYFUNCTION("""COMPUTED_VALUE"""),0.202)</f>
        <v>0.20200000000000001</v>
      </c>
      <c r="H526" s="133"/>
      <c r="I526" s="134">
        <f ca="1">IFERROR(__xludf.DUMMYFUNCTION("""COMPUTED_VALUE"""),1800000)</f>
        <v>1800000</v>
      </c>
    </row>
    <row r="527" spans="2:9" x14ac:dyDescent="0.3">
      <c r="B527" s="130" t="str">
        <f ca="1">IFERROR(__xludf.DUMMYFUNCTION("""COMPUTED_VALUE"""),"Круг")</f>
        <v>Круг</v>
      </c>
      <c r="C527" s="125" t="str">
        <f ca="1">IFERROR(__xludf.DUMMYFUNCTION("""COMPUTED_VALUE"""),"12х18н10т-ВД")</f>
        <v>12х18н10т-ВД</v>
      </c>
      <c r="D527" s="131">
        <f ca="1">IFERROR(__xludf.DUMMYFUNCTION("""COMPUTED_VALUE"""),130)</f>
        <v>130</v>
      </c>
      <c r="E527" s="131"/>
      <c r="F527" s="132" t="str">
        <f ca="1">IFERROR(__xludf.DUMMYFUNCTION("""COMPUTED_VALUE"""),"УЗК,  АТП  ТУ 14-1-3581")</f>
        <v>УЗК,  АТП  ТУ 14-1-3581</v>
      </c>
      <c r="G527" s="133">
        <f ca="1">IFERROR(__xludf.DUMMYFUNCTION("""COMPUTED_VALUE"""),0.215)</f>
        <v>0.215</v>
      </c>
      <c r="H527" s="133"/>
      <c r="I527" s="134">
        <f ca="1">IFERROR(__xludf.DUMMYFUNCTION("""COMPUTED_VALUE"""),1800000)</f>
        <v>1800000</v>
      </c>
    </row>
    <row r="528" spans="2:9" x14ac:dyDescent="0.3">
      <c r="B528" s="130" t="str">
        <f ca="1">IFERROR(__xludf.DUMMYFUNCTION("""COMPUTED_VALUE"""),"Круг")</f>
        <v>Круг</v>
      </c>
      <c r="C528" s="125" t="str">
        <f ca="1">IFERROR(__xludf.DUMMYFUNCTION("""COMPUTED_VALUE"""),"12х18н10т-ВД")</f>
        <v>12х18н10т-ВД</v>
      </c>
      <c r="D528" s="131">
        <f ca="1">IFERROR(__xludf.DUMMYFUNCTION("""COMPUTED_VALUE"""),130)</f>
        <v>130</v>
      </c>
      <c r="E528" s="131"/>
      <c r="F528" s="132" t="str">
        <f ca="1">IFERROR(__xludf.DUMMYFUNCTION("""COMPUTED_VALUE"""),"УЗК,  АТП  ТУ 14-1-3581")</f>
        <v>УЗК,  АТП  ТУ 14-1-3581</v>
      </c>
      <c r="G528" s="133">
        <f ca="1">IFERROR(__xludf.DUMMYFUNCTION("""COMPUTED_VALUE"""),1.945)</f>
        <v>1.9450000000000001</v>
      </c>
      <c r="H528" s="133"/>
      <c r="I528" s="134">
        <f ca="1">IFERROR(__xludf.DUMMYFUNCTION("""COMPUTED_VALUE"""),1800000)</f>
        <v>1800000</v>
      </c>
    </row>
    <row r="529" spans="2:9" x14ac:dyDescent="0.3">
      <c r="B529" s="130" t="str">
        <f ca="1">IFERROR(__xludf.DUMMYFUNCTION("""COMPUTED_VALUE"""),"Круг")</f>
        <v>Круг</v>
      </c>
      <c r="C529" s="125" t="str">
        <f ca="1">IFERROR(__xludf.DUMMYFUNCTION("""COMPUTED_VALUE"""),"12х18н10т-ВД")</f>
        <v>12х18н10т-ВД</v>
      </c>
      <c r="D529" s="131">
        <f ca="1">IFERROR(__xludf.DUMMYFUNCTION("""COMPUTED_VALUE"""),140)</f>
        <v>140</v>
      </c>
      <c r="E529" s="131"/>
      <c r="F529" s="132" t="str">
        <f ca="1">IFERROR(__xludf.DUMMYFUNCTION("""COMPUTED_VALUE"""),"УЗК,  АТП  ТУ 14-1-3581")</f>
        <v>УЗК,  АТП  ТУ 14-1-3581</v>
      </c>
      <c r="G529" s="133">
        <f ca="1">IFERROR(__xludf.DUMMYFUNCTION("""COMPUTED_VALUE"""),0.885)</f>
        <v>0.88500000000000001</v>
      </c>
      <c r="H529" s="133"/>
      <c r="I529" s="134">
        <f ca="1">IFERROR(__xludf.DUMMYFUNCTION("""COMPUTED_VALUE"""),1800000)</f>
        <v>1800000</v>
      </c>
    </row>
    <row r="530" spans="2:9" x14ac:dyDescent="0.3">
      <c r="B530" s="130" t="str">
        <f ca="1">IFERROR(__xludf.DUMMYFUNCTION("""COMPUTED_VALUE"""),"Круг")</f>
        <v>Круг</v>
      </c>
      <c r="C530" s="125" t="str">
        <f ca="1">IFERROR(__xludf.DUMMYFUNCTION("""COMPUTED_VALUE"""),"12х18н10т-ВД")</f>
        <v>12х18н10т-ВД</v>
      </c>
      <c r="D530" s="131">
        <f ca="1">IFERROR(__xludf.DUMMYFUNCTION("""COMPUTED_VALUE"""),140)</f>
        <v>140</v>
      </c>
      <c r="E530" s="131"/>
      <c r="F530" s="132" t="str">
        <f ca="1">IFERROR(__xludf.DUMMYFUNCTION("""COMPUTED_VALUE"""),"УЗК,  АТП  ТУ 14-1-3581")</f>
        <v>УЗК,  АТП  ТУ 14-1-3581</v>
      </c>
      <c r="G530" s="133">
        <f ca="1">IFERROR(__xludf.DUMMYFUNCTION("""COMPUTED_VALUE"""),1.3)</f>
        <v>1.3</v>
      </c>
      <c r="H530" s="133"/>
      <c r="I530" s="134">
        <f ca="1">IFERROR(__xludf.DUMMYFUNCTION("""COMPUTED_VALUE"""),1800000)</f>
        <v>1800000</v>
      </c>
    </row>
    <row r="531" spans="2:9" x14ac:dyDescent="0.3">
      <c r="B531" s="130" t="str">
        <f ca="1">IFERROR(__xludf.DUMMYFUNCTION("""COMPUTED_VALUE"""),"Круг")</f>
        <v>Круг</v>
      </c>
      <c r="C531" s="125" t="str">
        <f ca="1">IFERROR(__xludf.DUMMYFUNCTION("""COMPUTED_VALUE"""),"12х18н10т-ВД")</f>
        <v>12х18н10т-ВД</v>
      </c>
      <c r="D531" s="131">
        <f ca="1">IFERROR(__xludf.DUMMYFUNCTION("""COMPUTED_VALUE"""),140)</f>
        <v>140</v>
      </c>
      <c r="E531" s="131"/>
      <c r="F531" s="132" t="str">
        <f ca="1">IFERROR(__xludf.DUMMYFUNCTION("""COMPUTED_VALUE"""),"УЗК,  АТП  ТУ 14-1-3581 , 2ГП, обточ.")</f>
        <v>УЗК,  АТП  ТУ 14-1-3581 , 2ГП, обточ.</v>
      </c>
      <c r="G531" s="133">
        <f ca="1">IFERROR(__xludf.DUMMYFUNCTION("""COMPUTED_VALUE"""),1.126)</f>
        <v>1.1259999999999999</v>
      </c>
      <c r="H531" s="133"/>
      <c r="I531" s="134">
        <f ca="1">IFERROR(__xludf.DUMMYFUNCTION("""COMPUTED_VALUE"""),1800000)</f>
        <v>1800000</v>
      </c>
    </row>
    <row r="532" spans="2:9" x14ac:dyDescent="0.3">
      <c r="B532" s="130" t="str">
        <f ca="1">IFERROR(__xludf.DUMMYFUNCTION("""COMPUTED_VALUE"""),"Круг")</f>
        <v>Круг</v>
      </c>
      <c r="C532" s="125" t="str">
        <f ca="1">IFERROR(__xludf.DUMMYFUNCTION("""COMPUTED_VALUE"""),"12х18н10т-ВД")</f>
        <v>12х18н10т-ВД</v>
      </c>
      <c r="D532" s="131">
        <f ca="1">IFERROR(__xludf.DUMMYFUNCTION("""COMPUTED_VALUE"""),140)</f>
        <v>140</v>
      </c>
      <c r="E532" s="131"/>
      <c r="F532" s="132" t="str">
        <f ca="1">IFERROR(__xludf.DUMMYFUNCTION("""COMPUTED_VALUE"""),"УЗК,  АТП  ТУ 14-1-3581 , 2ГП, обточ.")</f>
        <v>УЗК,  АТП  ТУ 14-1-3581 , 2ГП, обточ.</v>
      </c>
      <c r="G532" s="133">
        <f ca="1">IFERROR(__xludf.DUMMYFUNCTION("""COMPUTED_VALUE"""),0.374)</f>
        <v>0.374</v>
      </c>
      <c r="H532" s="133"/>
      <c r="I532" s="134">
        <f ca="1">IFERROR(__xludf.DUMMYFUNCTION("""COMPUTED_VALUE"""),1800000)</f>
        <v>1800000</v>
      </c>
    </row>
    <row r="533" spans="2:9" x14ac:dyDescent="0.3">
      <c r="B533" s="130" t="str">
        <f ca="1">IFERROR(__xludf.DUMMYFUNCTION("""COMPUTED_VALUE"""),"Круг")</f>
        <v>Круг</v>
      </c>
      <c r="C533" s="125" t="str">
        <f ca="1">IFERROR(__xludf.DUMMYFUNCTION("""COMPUTED_VALUE"""),"12х18н10т-ВД")</f>
        <v>12х18н10т-ВД</v>
      </c>
      <c r="D533" s="131">
        <f ca="1">IFERROR(__xludf.DUMMYFUNCTION("""COMPUTED_VALUE"""),150)</f>
        <v>150</v>
      </c>
      <c r="E533" s="131"/>
      <c r="F533" s="132" t="str">
        <f ca="1">IFERROR(__xludf.DUMMYFUNCTION("""COMPUTED_VALUE"""),"УЗК,  АТП  ТУ 14-1-3581")</f>
        <v>УЗК,  АТП  ТУ 14-1-3581</v>
      </c>
      <c r="G533" s="133">
        <f ca="1">IFERROR(__xludf.DUMMYFUNCTION("""COMPUTED_VALUE"""),2.455)</f>
        <v>2.4550000000000001</v>
      </c>
      <c r="H533" s="133"/>
      <c r="I533" s="134">
        <f ca="1">IFERROR(__xludf.DUMMYFUNCTION("""COMPUTED_VALUE"""),1800000)</f>
        <v>1800000</v>
      </c>
    </row>
    <row r="534" spans="2:9" x14ac:dyDescent="0.3">
      <c r="B534" s="130" t="str">
        <f ca="1">IFERROR(__xludf.DUMMYFUNCTION("""COMPUTED_VALUE"""),"Круг")</f>
        <v>Круг</v>
      </c>
      <c r="C534" s="125" t="str">
        <f ca="1">IFERROR(__xludf.DUMMYFUNCTION("""COMPUTED_VALUE"""),"12х18н10т-ВД")</f>
        <v>12х18н10т-ВД</v>
      </c>
      <c r="D534" s="131">
        <f ca="1">IFERROR(__xludf.DUMMYFUNCTION("""COMPUTED_VALUE"""),160)</f>
        <v>160</v>
      </c>
      <c r="E534" s="131"/>
      <c r="F534" s="132" t="str">
        <f ca="1">IFERROR(__xludf.DUMMYFUNCTION("""COMPUTED_VALUE"""),"УЗК,  АТП  ТУ 14-1-3581 , 2ГП, обточ.")</f>
        <v>УЗК,  АТП  ТУ 14-1-3581 , 2ГП, обточ.</v>
      </c>
      <c r="G534" s="133">
        <f ca="1">IFERROR(__xludf.DUMMYFUNCTION("""COMPUTED_VALUE"""),0.917)</f>
        <v>0.91700000000000004</v>
      </c>
      <c r="H534" s="133"/>
      <c r="I534" s="134">
        <f ca="1">IFERROR(__xludf.DUMMYFUNCTION("""COMPUTED_VALUE"""),1600000)</f>
        <v>1600000</v>
      </c>
    </row>
    <row r="535" spans="2:9" x14ac:dyDescent="0.3">
      <c r="B535" s="130" t="str">
        <f ca="1">IFERROR(__xludf.DUMMYFUNCTION("""COMPUTED_VALUE"""),"Круг")</f>
        <v>Круг</v>
      </c>
      <c r="C535" s="125" t="str">
        <f ca="1">IFERROR(__xludf.DUMMYFUNCTION("""COMPUTED_VALUE"""),"12х18н10т-ВД")</f>
        <v>12х18н10т-ВД</v>
      </c>
      <c r="D535" s="131">
        <f ca="1">IFERROR(__xludf.DUMMYFUNCTION("""COMPUTED_VALUE"""),160)</f>
        <v>160</v>
      </c>
      <c r="E535" s="131"/>
      <c r="F535" s="132" t="str">
        <f ca="1">IFERROR(__xludf.DUMMYFUNCTION("""COMPUTED_VALUE"""),"УЗК,  АТП  ТУ 14-1-3581 , 2ГП, обточ.")</f>
        <v>УЗК,  АТП  ТУ 14-1-3581 , 2ГП, обточ.</v>
      </c>
      <c r="G535" s="133">
        <f ca="1">IFERROR(__xludf.DUMMYFUNCTION("""COMPUTED_VALUE"""),0.536)</f>
        <v>0.53600000000000003</v>
      </c>
      <c r="H535" s="133"/>
      <c r="I535" s="134">
        <f ca="1">IFERROR(__xludf.DUMMYFUNCTION("""COMPUTED_VALUE"""),1600000)</f>
        <v>1600000</v>
      </c>
    </row>
    <row r="536" spans="2:9" x14ac:dyDescent="0.3">
      <c r="B536" s="130" t="str">
        <f ca="1">IFERROR(__xludf.DUMMYFUNCTION("""COMPUTED_VALUE"""),"Круг")</f>
        <v>Круг</v>
      </c>
      <c r="C536" s="125" t="str">
        <f ca="1">IFERROR(__xludf.DUMMYFUNCTION("""COMPUTED_VALUE"""),"12х18н10т-ВД")</f>
        <v>12х18н10т-ВД</v>
      </c>
      <c r="D536" s="131">
        <f ca="1">IFERROR(__xludf.DUMMYFUNCTION("""COMPUTED_VALUE"""),180)</f>
        <v>180</v>
      </c>
      <c r="E536" s="131"/>
      <c r="F536" s="132" t="str">
        <f ca="1">IFERROR(__xludf.DUMMYFUNCTION("""COMPUTED_VALUE"""),"УЗК,  АТП  ТУ 14-1-3581 , 2ГП, обточ.")</f>
        <v>УЗК,  АТП  ТУ 14-1-3581 , 2ГП, обточ.</v>
      </c>
      <c r="G536" s="133">
        <f ca="1">IFERROR(__xludf.DUMMYFUNCTION("""COMPUTED_VALUE"""),1.3)</f>
        <v>1.3</v>
      </c>
      <c r="H536" s="133"/>
      <c r="I536" s="134">
        <f ca="1">IFERROR(__xludf.DUMMYFUNCTION("""COMPUTED_VALUE"""),1600000)</f>
        <v>1600000</v>
      </c>
    </row>
    <row r="537" spans="2:9" x14ac:dyDescent="0.3">
      <c r="B537" s="130" t="str">
        <f ca="1">IFERROR(__xludf.DUMMYFUNCTION("""COMPUTED_VALUE"""),"Круг")</f>
        <v>Круг</v>
      </c>
      <c r="C537" s="125" t="str">
        <f ca="1">IFERROR(__xludf.DUMMYFUNCTION("""COMPUTED_VALUE"""),"12х18н10т-ВД")</f>
        <v>12х18н10т-ВД</v>
      </c>
      <c r="D537" s="131">
        <f ca="1">IFERROR(__xludf.DUMMYFUNCTION("""COMPUTED_VALUE"""),200)</f>
        <v>200</v>
      </c>
      <c r="E537" s="131"/>
      <c r="F537" s="132" t="str">
        <f ca="1">IFERROR(__xludf.DUMMYFUNCTION("""COMPUTED_VALUE"""),"УЗК,  АТП  ТУ 14-1-3581 , 2ГП, обточ.")</f>
        <v>УЗК,  АТП  ТУ 14-1-3581 , 2ГП, обточ.</v>
      </c>
      <c r="G537" s="133">
        <f ca="1">IFERROR(__xludf.DUMMYFUNCTION("""COMPUTED_VALUE"""),0.788999999999999)</f>
        <v>0.78899999999999904</v>
      </c>
      <c r="H537" s="133"/>
      <c r="I537" s="134">
        <f ca="1">IFERROR(__xludf.DUMMYFUNCTION("""COMPUTED_VALUE"""),1600000)</f>
        <v>1600000</v>
      </c>
    </row>
    <row r="538" spans="2:9" x14ac:dyDescent="0.3">
      <c r="B538" s="130" t="str">
        <f ca="1">IFERROR(__xludf.DUMMYFUNCTION("""COMPUTED_VALUE"""),"Круг")</f>
        <v>Круг</v>
      </c>
      <c r="C538" s="125" t="str">
        <f ca="1">IFERROR(__xludf.DUMMYFUNCTION("""COMPUTED_VALUE"""),"12х18н10т-ВД")</f>
        <v>12х18н10т-ВД</v>
      </c>
      <c r="D538" s="131">
        <f ca="1">IFERROR(__xludf.DUMMYFUNCTION("""COMPUTED_VALUE"""),200)</f>
        <v>200</v>
      </c>
      <c r="E538" s="131"/>
      <c r="F538" s="132" t="str">
        <f ca="1">IFERROR(__xludf.DUMMYFUNCTION("""COMPUTED_VALUE"""),"УЗК,  АТП  ТУ 14-1-3581 , 2ГП, обточ.")</f>
        <v>УЗК,  АТП  ТУ 14-1-3581 , 2ГП, обточ.</v>
      </c>
      <c r="G538" s="133">
        <f ca="1">IFERROR(__xludf.DUMMYFUNCTION("""COMPUTED_VALUE"""),0.8)</f>
        <v>0.8</v>
      </c>
      <c r="H538" s="133"/>
      <c r="I538" s="134">
        <f ca="1">IFERROR(__xludf.DUMMYFUNCTION("""COMPUTED_VALUE"""),1600000)</f>
        <v>1600000</v>
      </c>
    </row>
    <row r="539" spans="2:9" x14ac:dyDescent="0.3">
      <c r="B539" s="130" t="str">
        <f ca="1">IFERROR(__xludf.DUMMYFUNCTION("""COMPUTED_VALUE"""),"Круг")</f>
        <v>Круг</v>
      </c>
      <c r="C539" s="125" t="str">
        <f ca="1">IFERROR(__xludf.DUMMYFUNCTION("""COMPUTED_VALUE"""),"12х18н10т-ВД")</f>
        <v>12х18н10т-ВД</v>
      </c>
      <c r="D539" s="131">
        <f ca="1">IFERROR(__xludf.DUMMYFUNCTION("""COMPUTED_VALUE"""),250)</f>
        <v>250</v>
      </c>
      <c r="E539" s="131"/>
      <c r="F539" s="132" t="str">
        <f ca="1">IFERROR(__xludf.DUMMYFUNCTION("""COMPUTED_VALUE"""),"УЗК, МКК, АТП  ТУ 14-1-3581")</f>
        <v>УЗК, МКК, АТП  ТУ 14-1-3581</v>
      </c>
      <c r="G539" s="133">
        <f ca="1">IFERROR(__xludf.DUMMYFUNCTION("""COMPUTED_VALUE"""),1.29)</f>
        <v>1.29</v>
      </c>
      <c r="H539" s="133"/>
      <c r="I539" s="134">
        <f ca="1">IFERROR(__xludf.DUMMYFUNCTION("""COMPUTED_VALUE"""),2000000)</f>
        <v>2000000</v>
      </c>
    </row>
    <row r="540" spans="2:9" x14ac:dyDescent="0.3">
      <c r="B540" s="130" t="str">
        <f ca="1">IFERROR(__xludf.DUMMYFUNCTION("""COMPUTED_VALUE"""),"Круг")</f>
        <v>Круг</v>
      </c>
      <c r="C540" s="125" t="str">
        <f ca="1">IFERROR(__xludf.DUMMYFUNCTION("""COMPUTED_VALUE"""),"12х18н10т-ВД")</f>
        <v>12х18н10т-ВД</v>
      </c>
      <c r="D540" s="131">
        <f ca="1">IFERROR(__xludf.DUMMYFUNCTION("""COMPUTED_VALUE"""),250)</f>
        <v>250</v>
      </c>
      <c r="E540" s="131"/>
      <c r="F540" s="132" t="str">
        <f ca="1">IFERROR(__xludf.DUMMYFUNCTION("""COMPUTED_VALUE"""),"УЗК, МКК, АТП  ТУ 14-1-3581")</f>
        <v>УЗК, МКК, АТП  ТУ 14-1-3581</v>
      </c>
      <c r="G540" s="133">
        <f ca="1">IFERROR(__xludf.DUMMYFUNCTION("""COMPUTED_VALUE"""),1.15899999999999)</f>
        <v>1.15899999999999</v>
      </c>
      <c r="H540" s="133"/>
      <c r="I540" s="134">
        <f ca="1">IFERROR(__xludf.DUMMYFUNCTION("""COMPUTED_VALUE"""),2000000)</f>
        <v>2000000</v>
      </c>
    </row>
    <row r="541" spans="2:9" x14ac:dyDescent="0.3">
      <c r="B541" s="130" t="str">
        <f ca="1">IFERROR(__xludf.DUMMYFUNCTION("""COMPUTED_VALUE"""),"круг")</f>
        <v>круг</v>
      </c>
      <c r="C541" s="125" t="str">
        <f ca="1">IFERROR(__xludf.DUMMYFUNCTION("""COMPUTED_VALUE"""),"13Х15Н4АМ3-ш (ЭП 310ш)")</f>
        <v>13Х15Н4АМ3-ш (ЭП 310ш)</v>
      </c>
      <c r="D541" s="131">
        <f ca="1">IFERROR(__xludf.DUMMYFUNCTION("""COMPUTED_VALUE"""),16)</f>
        <v>16</v>
      </c>
      <c r="E541" s="131"/>
      <c r="F54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3">
        <f ca="1">IFERROR(__xludf.DUMMYFUNCTION("""COMPUTED_VALUE"""),0.25)</f>
        <v>0.25</v>
      </c>
      <c r="H541" s="133"/>
      <c r="I541" s="134">
        <f ca="1">IFERROR(__xludf.DUMMYFUNCTION("""COMPUTED_VALUE"""),1450000)</f>
        <v>1450000</v>
      </c>
    </row>
    <row r="542" spans="2:9" x14ac:dyDescent="0.3">
      <c r="B542" s="130" t="str">
        <f ca="1">IFERROR(__xludf.DUMMYFUNCTION("""COMPUTED_VALUE"""),"круг")</f>
        <v>круг</v>
      </c>
      <c r="C542" s="125" t="str">
        <f ca="1">IFERROR(__xludf.DUMMYFUNCTION("""COMPUTED_VALUE"""),"13Х15Н4АМ3-ш (ЭП 310ш)")</f>
        <v>13Х15Н4АМ3-ш (ЭП 310ш)</v>
      </c>
      <c r="D542" s="131">
        <f ca="1">IFERROR(__xludf.DUMMYFUNCTION("""COMPUTED_VALUE"""),25)</f>
        <v>25</v>
      </c>
      <c r="E542" s="131"/>
      <c r="F54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3">
        <f ca="1">IFERROR(__xludf.DUMMYFUNCTION("""COMPUTED_VALUE"""),0.202)</f>
        <v>0.20200000000000001</v>
      </c>
      <c r="H542" s="133"/>
      <c r="I542" s="134">
        <f ca="1">IFERROR(__xludf.DUMMYFUNCTION("""COMPUTED_VALUE"""),1450000)</f>
        <v>1450000</v>
      </c>
    </row>
    <row r="543" spans="2:9" x14ac:dyDescent="0.3">
      <c r="B543" s="130" t="str">
        <f ca="1">IFERROR(__xludf.DUMMYFUNCTION("""COMPUTED_VALUE"""),"круг")</f>
        <v>круг</v>
      </c>
      <c r="C543" s="125" t="str">
        <f ca="1">IFERROR(__xludf.DUMMYFUNCTION("""COMPUTED_VALUE"""),"13Х15Н4АМ3-ш (ЭП 310ш)")</f>
        <v>13Х15Н4АМ3-ш (ЭП 310ш)</v>
      </c>
      <c r="D543" s="131">
        <f ca="1">IFERROR(__xludf.DUMMYFUNCTION("""COMPUTED_VALUE"""),30)</f>
        <v>30</v>
      </c>
      <c r="E543" s="131"/>
      <c r="F54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3">
        <f ca="1">IFERROR(__xludf.DUMMYFUNCTION("""COMPUTED_VALUE"""),0.059)</f>
        <v>5.8999999999999997E-2</v>
      </c>
      <c r="H543" s="133"/>
      <c r="I543" s="134">
        <f ca="1">IFERROR(__xludf.DUMMYFUNCTION("""COMPUTED_VALUE"""),1100000)</f>
        <v>1100000</v>
      </c>
    </row>
    <row r="544" spans="2:9" x14ac:dyDescent="0.3">
      <c r="B544" s="130" t="str">
        <f ca="1">IFERROR(__xludf.DUMMYFUNCTION("""COMPUTED_VALUE"""),"круг")</f>
        <v>круг</v>
      </c>
      <c r="C544" s="125" t="str">
        <f ca="1">IFERROR(__xludf.DUMMYFUNCTION("""COMPUTED_VALUE"""),"13Х15Н4АМ3-ш (ЭП 310ш)")</f>
        <v>13Х15Н4АМ3-ш (ЭП 310ш)</v>
      </c>
      <c r="D544" s="131">
        <f ca="1">IFERROR(__xludf.DUMMYFUNCTION("""COMPUTED_VALUE"""),30)</f>
        <v>30</v>
      </c>
      <c r="E544" s="131"/>
      <c r="F54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3">
        <f ca="1">IFERROR(__xludf.DUMMYFUNCTION("""COMPUTED_VALUE"""),0.832)</f>
        <v>0.83199999999999996</v>
      </c>
      <c r="H544" s="133"/>
      <c r="I544" s="134">
        <f ca="1">IFERROR(__xludf.DUMMYFUNCTION("""COMPUTED_VALUE"""),1100000)</f>
        <v>1100000</v>
      </c>
    </row>
    <row r="545" spans="2:9" x14ac:dyDescent="0.3">
      <c r="B545" s="130" t="str">
        <f ca="1">IFERROR(__xludf.DUMMYFUNCTION("""COMPUTED_VALUE"""),"круг")</f>
        <v>круг</v>
      </c>
      <c r="C545" s="125" t="str">
        <f ca="1">IFERROR(__xludf.DUMMYFUNCTION("""COMPUTED_VALUE"""),"13Х15Н4АМ3-ш (ЭП 310ш)")</f>
        <v>13Х15Н4АМ3-ш (ЭП 310ш)</v>
      </c>
      <c r="D545" s="131">
        <f ca="1">IFERROR(__xludf.DUMMYFUNCTION("""COMPUTED_VALUE"""),32)</f>
        <v>32</v>
      </c>
      <c r="E545" s="131"/>
      <c r="F54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3">
        <f ca="1">IFERROR(__xludf.DUMMYFUNCTION("""COMPUTED_VALUE"""),0.688)</f>
        <v>0.68799999999999994</v>
      </c>
      <c r="H545" s="133"/>
      <c r="I545" s="134">
        <f ca="1">IFERROR(__xludf.DUMMYFUNCTION("""COMPUTED_VALUE"""),1100000)</f>
        <v>1100000</v>
      </c>
    </row>
    <row r="546" spans="2:9" x14ac:dyDescent="0.3">
      <c r="B546" s="130" t="str">
        <f ca="1">IFERROR(__xludf.DUMMYFUNCTION("""COMPUTED_VALUE"""),"круг")</f>
        <v>круг</v>
      </c>
      <c r="C546" s="125" t="str">
        <f ca="1">IFERROR(__xludf.DUMMYFUNCTION("""COMPUTED_VALUE"""),"13Х15Н4АМ3-ш (ЭП 310ш)")</f>
        <v>13Х15Н4АМ3-ш (ЭП 310ш)</v>
      </c>
      <c r="D546" s="131">
        <f ca="1">IFERROR(__xludf.DUMMYFUNCTION("""COMPUTED_VALUE"""),36)</f>
        <v>36</v>
      </c>
      <c r="E546" s="131"/>
      <c r="F54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3">
        <f ca="1">IFERROR(__xludf.DUMMYFUNCTION("""COMPUTED_VALUE"""),1.253)</f>
        <v>1.2529999999999999</v>
      </c>
      <c r="H546" s="133"/>
      <c r="I546" s="134">
        <f ca="1">IFERROR(__xludf.DUMMYFUNCTION("""COMPUTED_VALUE"""),1100000)</f>
        <v>1100000</v>
      </c>
    </row>
    <row r="547" spans="2:9" x14ac:dyDescent="0.3">
      <c r="B547" s="130" t="str">
        <f ca="1">IFERROR(__xludf.DUMMYFUNCTION("""COMPUTED_VALUE"""),"круг")</f>
        <v>круг</v>
      </c>
      <c r="C547" s="125" t="str">
        <f ca="1">IFERROR(__xludf.DUMMYFUNCTION("""COMPUTED_VALUE"""),"13Х15Н4АМ3-ш (ЭП 310ш)")</f>
        <v>13Х15Н4АМ3-ш (ЭП 310ш)</v>
      </c>
      <c r="D547" s="131">
        <f ca="1">IFERROR(__xludf.DUMMYFUNCTION("""COMPUTED_VALUE"""),38)</f>
        <v>38</v>
      </c>
      <c r="E547" s="131"/>
      <c r="F54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3">
        <f ca="1">IFERROR(__xludf.DUMMYFUNCTION("""COMPUTED_VALUE"""),0.572)</f>
        <v>0.57199999999999995</v>
      </c>
      <c r="H547" s="133"/>
      <c r="I547" s="134">
        <f ca="1">IFERROR(__xludf.DUMMYFUNCTION("""COMPUTED_VALUE"""),1100000)</f>
        <v>1100000</v>
      </c>
    </row>
    <row r="548" spans="2:9" x14ac:dyDescent="0.3">
      <c r="B548" s="130" t="str">
        <f ca="1">IFERROR(__xludf.DUMMYFUNCTION("""COMPUTED_VALUE"""),"круг")</f>
        <v>круг</v>
      </c>
      <c r="C548" s="125" t="str">
        <f ca="1">IFERROR(__xludf.DUMMYFUNCTION("""COMPUTED_VALUE"""),"13Х15Н4АМ3-ш (ЭП 310ш)")</f>
        <v>13Х15Н4АМ3-ш (ЭП 310ш)</v>
      </c>
      <c r="D548" s="131">
        <f ca="1">IFERROR(__xludf.DUMMYFUNCTION("""COMPUTED_VALUE"""),40)</f>
        <v>40</v>
      </c>
      <c r="E548" s="131"/>
      <c r="F54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3">
        <f ca="1">IFERROR(__xludf.DUMMYFUNCTION("""COMPUTED_VALUE"""),0.644)</f>
        <v>0.64400000000000002</v>
      </c>
      <c r="H548" s="133"/>
      <c r="I548" s="134">
        <f ca="1">IFERROR(__xludf.DUMMYFUNCTION("""COMPUTED_VALUE"""),1100000)</f>
        <v>1100000</v>
      </c>
    </row>
    <row r="549" spans="2:9" x14ac:dyDescent="0.3">
      <c r="B549" s="130" t="str">
        <f ca="1">IFERROR(__xludf.DUMMYFUNCTION("""COMPUTED_VALUE"""),"круг")</f>
        <v>круг</v>
      </c>
      <c r="C549" s="125" t="str">
        <f ca="1">IFERROR(__xludf.DUMMYFUNCTION("""COMPUTED_VALUE"""),"13Х15Н4АМ3-ш (ЭП 310ш)")</f>
        <v>13Х15Н4АМ3-ш (ЭП 310ш)</v>
      </c>
      <c r="D549" s="131">
        <f ca="1">IFERROR(__xludf.DUMMYFUNCTION("""COMPUTED_VALUE"""),42)</f>
        <v>42</v>
      </c>
      <c r="E549" s="131"/>
      <c r="F54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3">
        <f ca="1">IFERROR(__xludf.DUMMYFUNCTION("""COMPUTED_VALUE"""),0.762)</f>
        <v>0.76200000000000001</v>
      </c>
      <c r="H549" s="133"/>
      <c r="I549" s="134">
        <f ca="1">IFERROR(__xludf.DUMMYFUNCTION("""COMPUTED_VALUE"""),1100000)</f>
        <v>1100000</v>
      </c>
    </row>
    <row r="550" spans="2:9" x14ac:dyDescent="0.3">
      <c r="B550" s="130" t="str">
        <f ca="1">IFERROR(__xludf.DUMMYFUNCTION("""COMPUTED_VALUE"""),"круг")</f>
        <v>круг</v>
      </c>
      <c r="C550" s="125" t="str">
        <f ca="1">IFERROR(__xludf.DUMMYFUNCTION("""COMPUTED_VALUE"""),"13Х15Н4АМ3-ш (ЭП 310ш)")</f>
        <v>13Х15Н4АМ3-ш (ЭП 310ш)</v>
      </c>
      <c r="D550" s="131">
        <f ca="1">IFERROR(__xludf.DUMMYFUNCTION("""COMPUTED_VALUE"""),42)</f>
        <v>42</v>
      </c>
      <c r="E550" s="131"/>
      <c r="F55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3">
        <f ca="1">IFERROR(__xludf.DUMMYFUNCTION("""COMPUTED_VALUE"""),0.272)</f>
        <v>0.27200000000000002</v>
      </c>
      <c r="H550" s="133"/>
      <c r="I550" s="134">
        <f ca="1">IFERROR(__xludf.DUMMYFUNCTION("""COMPUTED_VALUE"""),1100000)</f>
        <v>1100000</v>
      </c>
    </row>
    <row r="551" spans="2:9" x14ac:dyDescent="0.3">
      <c r="B551" s="130" t="str">
        <f ca="1">IFERROR(__xludf.DUMMYFUNCTION("""COMPUTED_VALUE"""),"круг")</f>
        <v>круг</v>
      </c>
      <c r="C551" s="125" t="str">
        <f ca="1">IFERROR(__xludf.DUMMYFUNCTION("""COMPUTED_VALUE"""),"13Х15Н4АМ3-ш (ЭП 310ш)")</f>
        <v>13Х15Н4АМ3-ш (ЭП 310ш)</v>
      </c>
      <c r="D551" s="131">
        <f ca="1">IFERROR(__xludf.DUMMYFUNCTION("""COMPUTED_VALUE"""),45)</f>
        <v>45</v>
      </c>
      <c r="E551" s="131"/>
      <c r="F55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3">
        <f ca="1">IFERROR(__xludf.DUMMYFUNCTION("""COMPUTED_VALUE"""),0.377)</f>
        <v>0.377</v>
      </c>
      <c r="H551" s="133"/>
      <c r="I551" s="134">
        <f ca="1">IFERROR(__xludf.DUMMYFUNCTION("""COMPUTED_VALUE"""),1100000)</f>
        <v>1100000</v>
      </c>
    </row>
    <row r="552" spans="2:9" x14ac:dyDescent="0.3">
      <c r="B552" s="130" t="str">
        <f ca="1">IFERROR(__xludf.DUMMYFUNCTION("""COMPUTED_VALUE"""),"круг")</f>
        <v>круг</v>
      </c>
      <c r="C552" s="125" t="str">
        <f ca="1">IFERROR(__xludf.DUMMYFUNCTION("""COMPUTED_VALUE"""),"13Х15Н4АМ3-ш (ЭП 310ш)")</f>
        <v>13Х15Н4АМ3-ш (ЭП 310ш)</v>
      </c>
      <c r="D552" s="131">
        <f ca="1">IFERROR(__xludf.DUMMYFUNCTION("""COMPUTED_VALUE"""),45)</f>
        <v>45</v>
      </c>
      <c r="E552" s="131"/>
      <c r="F55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3">
        <f ca="1">IFERROR(__xludf.DUMMYFUNCTION("""COMPUTED_VALUE"""),0.636)</f>
        <v>0.63600000000000001</v>
      </c>
      <c r="H552" s="133"/>
      <c r="I552" s="134">
        <f ca="1">IFERROR(__xludf.DUMMYFUNCTION("""COMPUTED_VALUE"""),1100000)</f>
        <v>1100000</v>
      </c>
    </row>
    <row r="553" spans="2:9" x14ac:dyDescent="0.3">
      <c r="B553" s="130" t="str">
        <f ca="1">IFERROR(__xludf.DUMMYFUNCTION("""COMPUTED_VALUE"""),"круг")</f>
        <v>круг</v>
      </c>
      <c r="C553" s="125" t="str">
        <f ca="1">IFERROR(__xludf.DUMMYFUNCTION("""COMPUTED_VALUE"""),"13Х15Н4АМ3-ш (ЭП 310ш)")</f>
        <v>13Х15Н4АМ3-ш (ЭП 310ш)</v>
      </c>
      <c r="D553" s="131">
        <f ca="1">IFERROR(__xludf.DUMMYFUNCTION("""COMPUTED_VALUE"""),48)</f>
        <v>48</v>
      </c>
      <c r="E553" s="131"/>
      <c r="F55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3">
        <f ca="1">IFERROR(__xludf.DUMMYFUNCTION("""COMPUTED_VALUE"""),0.885)</f>
        <v>0.88500000000000001</v>
      </c>
      <c r="H553" s="133"/>
      <c r="I553" s="134">
        <f ca="1">IFERROR(__xludf.DUMMYFUNCTION("""COMPUTED_VALUE"""),1100000)</f>
        <v>1100000</v>
      </c>
    </row>
    <row r="554" spans="2:9" x14ac:dyDescent="0.3">
      <c r="B554" s="130" t="str">
        <f ca="1">IFERROR(__xludf.DUMMYFUNCTION("""COMPUTED_VALUE"""),"круг")</f>
        <v>круг</v>
      </c>
      <c r="C554" s="125" t="str">
        <f ca="1">IFERROR(__xludf.DUMMYFUNCTION("""COMPUTED_VALUE"""),"13Х15Н4АМ3-ш (ЭП 310ш)")</f>
        <v>13Х15Н4АМ3-ш (ЭП 310ш)</v>
      </c>
      <c r="D554" s="131">
        <f ca="1">IFERROR(__xludf.DUMMYFUNCTION("""COMPUTED_VALUE"""),50)</f>
        <v>50</v>
      </c>
      <c r="E554" s="131"/>
      <c r="F55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3">
        <f ca="1">IFERROR(__xludf.DUMMYFUNCTION("""COMPUTED_VALUE"""),0.202)</f>
        <v>0.20200000000000001</v>
      </c>
      <c r="H554" s="133"/>
      <c r="I554" s="134">
        <f ca="1">IFERROR(__xludf.DUMMYFUNCTION("""COMPUTED_VALUE"""),1100000)</f>
        <v>1100000</v>
      </c>
    </row>
    <row r="555" spans="2:9" x14ac:dyDescent="0.3">
      <c r="B555" s="130" t="str">
        <f ca="1">IFERROR(__xludf.DUMMYFUNCTION("""COMPUTED_VALUE"""),"круг")</f>
        <v>круг</v>
      </c>
      <c r="C555" s="125" t="str">
        <f ca="1">IFERROR(__xludf.DUMMYFUNCTION("""COMPUTED_VALUE"""),"13Х15Н4АМ3-ш (ЭП 310ш)")</f>
        <v>13Х15Н4АМ3-ш (ЭП 310ш)</v>
      </c>
      <c r="D555" s="131">
        <f ca="1">IFERROR(__xludf.DUMMYFUNCTION("""COMPUTED_VALUE"""),50)</f>
        <v>50</v>
      </c>
      <c r="E555" s="131"/>
      <c r="F55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3">
        <f ca="1">IFERROR(__xludf.DUMMYFUNCTION("""COMPUTED_VALUE"""),0.905)</f>
        <v>0.90500000000000003</v>
      </c>
      <c r="H555" s="133"/>
      <c r="I555" s="134">
        <f ca="1">IFERROR(__xludf.DUMMYFUNCTION("""COMPUTED_VALUE"""),1100000)</f>
        <v>1100000</v>
      </c>
    </row>
    <row r="556" spans="2:9" x14ac:dyDescent="0.3">
      <c r="B556" s="130" t="str">
        <f ca="1">IFERROR(__xludf.DUMMYFUNCTION("""COMPUTED_VALUE"""),"круг")</f>
        <v>круг</v>
      </c>
      <c r="C556" s="125" t="str">
        <f ca="1">IFERROR(__xludf.DUMMYFUNCTION("""COMPUTED_VALUE"""),"13Х15Н4АМ3-ш (ЭП 310ш)")</f>
        <v>13Х15Н4АМ3-ш (ЭП 310ш)</v>
      </c>
      <c r="D556" s="131">
        <f ca="1">IFERROR(__xludf.DUMMYFUNCTION("""COMPUTED_VALUE"""),50)</f>
        <v>50</v>
      </c>
      <c r="E556" s="131"/>
      <c r="F55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3">
        <f ca="1">IFERROR(__xludf.DUMMYFUNCTION("""COMPUTED_VALUE"""),0.19)</f>
        <v>0.19</v>
      </c>
      <c r="H556" s="133"/>
      <c r="I556" s="134">
        <f ca="1">IFERROR(__xludf.DUMMYFUNCTION("""COMPUTED_VALUE"""),1100000)</f>
        <v>1100000</v>
      </c>
    </row>
    <row r="557" spans="2:9" x14ac:dyDescent="0.3">
      <c r="B557" s="130" t="str">
        <f ca="1">IFERROR(__xludf.DUMMYFUNCTION("""COMPUTED_VALUE"""),"круг")</f>
        <v>круг</v>
      </c>
      <c r="C557" s="125" t="str">
        <f ca="1">IFERROR(__xludf.DUMMYFUNCTION("""COMPUTED_VALUE"""),"13Х15Н4АМ3-ш (ЭП 310ш)")</f>
        <v>13Х15Н4АМ3-ш (ЭП 310ш)</v>
      </c>
      <c r="D557" s="131">
        <f ca="1">IFERROR(__xludf.DUMMYFUNCTION("""COMPUTED_VALUE"""),56)</f>
        <v>56</v>
      </c>
      <c r="E557" s="131"/>
      <c r="F55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3">
        <f ca="1">IFERROR(__xludf.DUMMYFUNCTION("""COMPUTED_VALUE"""),1.572)</f>
        <v>1.5720000000000001</v>
      </c>
      <c r="H557" s="133"/>
      <c r="I557" s="134">
        <f ca="1">IFERROR(__xludf.DUMMYFUNCTION("""COMPUTED_VALUE"""),1100000)</f>
        <v>1100000</v>
      </c>
    </row>
    <row r="558" spans="2:9" x14ac:dyDescent="0.3">
      <c r="B558" s="130" t="str">
        <f ca="1">IFERROR(__xludf.DUMMYFUNCTION("""COMPUTED_VALUE"""),"круг")</f>
        <v>круг</v>
      </c>
      <c r="C558" s="125" t="str">
        <f ca="1">IFERROR(__xludf.DUMMYFUNCTION("""COMPUTED_VALUE"""),"13Х15Н4АМ3-ш (ЭП 310ш)")</f>
        <v>13Х15Н4АМ3-ш (ЭП 310ш)</v>
      </c>
      <c r="D558" s="131">
        <f ca="1">IFERROR(__xludf.DUMMYFUNCTION("""COMPUTED_VALUE"""),60)</f>
        <v>60</v>
      </c>
      <c r="E558" s="131"/>
      <c r="F55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3">
        <f ca="1">IFERROR(__xludf.DUMMYFUNCTION("""COMPUTED_VALUE"""),0.987)</f>
        <v>0.98699999999999999</v>
      </c>
      <c r="H558" s="133"/>
      <c r="I558" s="134">
        <f ca="1">IFERROR(__xludf.DUMMYFUNCTION("""COMPUTED_VALUE"""),1100000)</f>
        <v>1100000</v>
      </c>
    </row>
    <row r="559" spans="2:9" x14ac:dyDescent="0.3">
      <c r="B559" s="130" t="str">
        <f ca="1">IFERROR(__xludf.DUMMYFUNCTION("""COMPUTED_VALUE"""),"круг")</f>
        <v>круг</v>
      </c>
      <c r="C559" s="125" t="str">
        <f ca="1">IFERROR(__xludf.DUMMYFUNCTION("""COMPUTED_VALUE"""),"13Х15Н4АМ3-ш (ЭП 310ш)")</f>
        <v>13Х15Н4АМ3-ш (ЭП 310ш)</v>
      </c>
      <c r="D559" s="131">
        <f ca="1">IFERROR(__xludf.DUMMYFUNCTION("""COMPUTED_VALUE"""),65)</f>
        <v>65</v>
      </c>
      <c r="E559" s="131"/>
      <c r="F55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3">
        <f ca="1">IFERROR(__xludf.DUMMYFUNCTION("""COMPUTED_VALUE"""),0.128)</f>
        <v>0.128</v>
      </c>
      <c r="H559" s="133"/>
      <c r="I559" s="134">
        <f ca="1">IFERROR(__xludf.DUMMYFUNCTION("""COMPUTED_VALUE"""),1100000)</f>
        <v>1100000</v>
      </c>
    </row>
    <row r="560" spans="2:9" x14ac:dyDescent="0.3">
      <c r="B560" s="130" t="str">
        <f ca="1">IFERROR(__xludf.DUMMYFUNCTION("""COMPUTED_VALUE"""),"круг")</f>
        <v>круг</v>
      </c>
      <c r="C560" s="125" t="str">
        <f ca="1">IFERROR(__xludf.DUMMYFUNCTION("""COMPUTED_VALUE"""),"13Х15Н4АМ3-ш (ЭП 310ш)")</f>
        <v>13Х15Н4АМ3-ш (ЭП 310ш)</v>
      </c>
      <c r="D560" s="131">
        <f ca="1">IFERROR(__xludf.DUMMYFUNCTION("""COMPUTED_VALUE"""),65)</f>
        <v>65</v>
      </c>
      <c r="E560" s="131"/>
      <c r="F56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3">
        <f ca="1">IFERROR(__xludf.DUMMYFUNCTION("""COMPUTED_VALUE"""),0.28)</f>
        <v>0.28000000000000003</v>
      </c>
      <c r="H560" s="133"/>
      <c r="I560" s="134">
        <f ca="1">IFERROR(__xludf.DUMMYFUNCTION("""COMPUTED_VALUE"""),1100000)</f>
        <v>1100000</v>
      </c>
    </row>
    <row r="561" spans="2:9" x14ac:dyDescent="0.3">
      <c r="B561" s="130" t="str">
        <f ca="1">IFERROR(__xludf.DUMMYFUNCTION("""COMPUTED_VALUE"""),"круг")</f>
        <v>круг</v>
      </c>
      <c r="C561" s="125" t="str">
        <f ca="1">IFERROR(__xludf.DUMMYFUNCTION("""COMPUTED_VALUE"""),"13Х15Н4АМ3-ш (ЭП 310ш)")</f>
        <v>13Х15Н4АМ3-ш (ЭП 310ш)</v>
      </c>
      <c r="D561" s="131">
        <f ca="1">IFERROR(__xludf.DUMMYFUNCTION("""COMPUTED_VALUE"""),65)</f>
        <v>65</v>
      </c>
      <c r="E561" s="131"/>
      <c r="F56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3">
        <f ca="1">IFERROR(__xludf.DUMMYFUNCTION("""COMPUTED_VALUE"""),0.85)</f>
        <v>0.85</v>
      </c>
      <c r="H561" s="133"/>
      <c r="I561" s="134">
        <f ca="1">IFERROR(__xludf.DUMMYFUNCTION("""COMPUTED_VALUE"""),1100000)</f>
        <v>1100000</v>
      </c>
    </row>
    <row r="562" spans="2:9" x14ac:dyDescent="0.3">
      <c r="B562" s="130" t="str">
        <f ca="1">IFERROR(__xludf.DUMMYFUNCTION("""COMPUTED_VALUE"""),"круг")</f>
        <v>круг</v>
      </c>
      <c r="C562" s="125" t="str">
        <f ca="1">IFERROR(__xludf.DUMMYFUNCTION("""COMPUTED_VALUE"""),"13Х15Н4АМ3-ш (ЭП 310ш)")</f>
        <v>13Х15Н4АМ3-ш (ЭП 310ш)</v>
      </c>
      <c r="D562" s="131">
        <f ca="1">IFERROR(__xludf.DUMMYFUNCTION("""COMPUTED_VALUE"""),70)</f>
        <v>70</v>
      </c>
      <c r="E562" s="131"/>
      <c r="F56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3">
        <f ca="1">IFERROR(__xludf.DUMMYFUNCTION("""COMPUTED_VALUE"""),0.714)</f>
        <v>0.71399999999999997</v>
      </c>
      <c r="H562" s="133"/>
      <c r="I562" s="134">
        <f ca="1">IFERROR(__xludf.DUMMYFUNCTION("""COMPUTED_VALUE"""),1100000)</f>
        <v>1100000</v>
      </c>
    </row>
    <row r="563" spans="2:9" x14ac:dyDescent="0.3">
      <c r="B563" s="130" t="str">
        <f ca="1">IFERROR(__xludf.DUMMYFUNCTION("""COMPUTED_VALUE"""),"круг")</f>
        <v>круг</v>
      </c>
      <c r="C563" s="125" t="str">
        <f ca="1">IFERROR(__xludf.DUMMYFUNCTION("""COMPUTED_VALUE"""),"13Х15Н4АМ3-ш (ЭП 310ш)")</f>
        <v>13Х15Н4АМ3-ш (ЭП 310ш)</v>
      </c>
      <c r="D563" s="131">
        <f ca="1">IFERROR(__xludf.DUMMYFUNCTION("""COMPUTED_VALUE"""),75)</f>
        <v>75</v>
      </c>
      <c r="E563" s="131"/>
      <c r="F56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3">
        <f ca="1">IFERROR(__xludf.DUMMYFUNCTION("""COMPUTED_VALUE"""),0.51)</f>
        <v>0.51</v>
      </c>
      <c r="H563" s="133"/>
      <c r="I563" s="134">
        <f ca="1">IFERROR(__xludf.DUMMYFUNCTION("""COMPUTED_VALUE"""),1100000)</f>
        <v>1100000</v>
      </c>
    </row>
    <row r="564" spans="2:9" x14ac:dyDescent="0.3">
      <c r="B564" s="130" t="str">
        <f ca="1">IFERROR(__xludf.DUMMYFUNCTION("""COMPUTED_VALUE"""),"круг")</f>
        <v>круг</v>
      </c>
      <c r="C564" s="125" t="str">
        <f ca="1">IFERROR(__xludf.DUMMYFUNCTION("""COMPUTED_VALUE"""),"13Х15Н4АМ3-ш (ЭП 310ш)")</f>
        <v>13Х15Н4АМ3-ш (ЭП 310ш)</v>
      </c>
      <c r="D564" s="131">
        <f ca="1">IFERROR(__xludf.DUMMYFUNCTION("""COMPUTED_VALUE"""),75)</f>
        <v>75</v>
      </c>
      <c r="E564" s="131"/>
      <c r="F56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3">
        <f ca="1">IFERROR(__xludf.DUMMYFUNCTION("""COMPUTED_VALUE"""),1.315)</f>
        <v>1.3149999999999999</v>
      </c>
      <c r="H564" s="133"/>
      <c r="I564" s="134">
        <f ca="1">IFERROR(__xludf.DUMMYFUNCTION("""COMPUTED_VALUE"""),1100000)</f>
        <v>1100000</v>
      </c>
    </row>
    <row r="565" spans="2:9" x14ac:dyDescent="0.3">
      <c r="B565" s="130" t="str">
        <f ca="1">IFERROR(__xludf.DUMMYFUNCTION("""COMPUTED_VALUE"""),"круг")</f>
        <v>круг</v>
      </c>
      <c r="C565" s="125" t="str">
        <f ca="1">IFERROR(__xludf.DUMMYFUNCTION("""COMPUTED_VALUE"""),"13Х15Н4АМ3-ш (ЭП 310ш)")</f>
        <v>13Х15Н4АМ3-ш (ЭП 310ш)</v>
      </c>
      <c r="D565" s="131">
        <f ca="1">IFERROR(__xludf.DUMMYFUNCTION("""COMPUTED_VALUE"""),80)</f>
        <v>80</v>
      </c>
      <c r="E565" s="131"/>
      <c r="F56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3">
        <f ca="1">IFERROR(__xludf.DUMMYFUNCTION("""COMPUTED_VALUE"""),0.863999999999999)</f>
        <v>0.86399999999999899</v>
      </c>
      <c r="H565" s="133"/>
      <c r="I565" s="134">
        <f ca="1">IFERROR(__xludf.DUMMYFUNCTION("""COMPUTED_VALUE"""),1100000)</f>
        <v>1100000</v>
      </c>
    </row>
    <row r="566" spans="2:9" x14ac:dyDescent="0.3">
      <c r="B566" s="130" t="str">
        <f ca="1">IFERROR(__xludf.DUMMYFUNCTION("""COMPUTED_VALUE"""),"круг")</f>
        <v>круг</v>
      </c>
      <c r="C566" s="125" t="str">
        <f ca="1">IFERROR(__xludf.DUMMYFUNCTION("""COMPUTED_VALUE"""),"13Х15Н4АМ3-ш (ЭП 310ш)")</f>
        <v>13Х15Н4АМ3-ш (ЭП 310ш)</v>
      </c>
      <c r="D566" s="131">
        <f ca="1">IFERROR(__xludf.DUMMYFUNCTION("""COMPUTED_VALUE"""),80)</f>
        <v>80</v>
      </c>
      <c r="E566" s="131"/>
      <c r="F56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3">
        <f ca="1">IFERROR(__xludf.DUMMYFUNCTION("""COMPUTED_VALUE"""),0.64)</f>
        <v>0.64</v>
      </c>
      <c r="H566" s="133"/>
      <c r="I566" s="134">
        <f ca="1">IFERROR(__xludf.DUMMYFUNCTION("""COMPUTED_VALUE"""),1100000)</f>
        <v>1100000</v>
      </c>
    </row>
    <row r="567" spans="2:9" x14ac:dyDescent="0.3">
      <c r="B567" s="130" t="str">
        <f ca="1">IFERROR(__xludf.DUMMYFUNCTION("""COMPUTED_VALUE"""),"круг")</f>
        <v>круг</v>
      </c>
      <c r="C567" s="125" t="str">
        <f ca="1">IFERROR(__xludf.DUMMYFUNCTION("""COMPUTED_VALUE"""),"13Х15Н4АМ3-ш (ЭП 310ш)")</f>
        <v>13Х15Н4АМ3-ш (ЭП 310ш)</v>
      </c>
      <c r="D567" s="131">
        <f ca="1">IFERROR(__xludf.DUMMYFUNCTION("""COMPUTED_VALUE"""),90)</f>
        <v>90</v>
      </c>
      <c r="E567" s="131"/>
      <c r="F56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3">
        <f ca="1">IFERROR(__xludf.DUMMYFUNCTION("""COMPUTED_VALUE"""),0.966)</f>
        <v>0.96599999999999997</v>
      </c>
      <c r="H567" s="133"/>
      <c r="I567" s="134">
        <f ca="1">IFERROR(__xludf.DUMMYFUNCTION("""COMPUTED_VALUE"""),1100000)</f>
        <v>1100000</v>
      </c>
    </row>
    <row r="568" spans="2:9" x14ac:dyDescent="0.3">
      <c r="B568" s="130" t="str">
        <f ca="1">IFERROR(__xludf.DUMMYFUNCTION("""COMPUTED_VALUE"""),"круг")</f>
        <v>круг</v>
      </c>
      <c r="C568" s="125" t="str">
        <f ca="1">IFERROR(__xludf.DUMMYFUNCTION("""COMPUTED_VALUE"""),"13Х15Н4АМ3-ш (ЭП 310ш)")</f>
        <v>13Х15Н4АМ3-ш (ЭП 310ш)</v>
      </c>
      <c r="D568" s="131">
        <f ca="1">IFERROR(__xludf.DUMMYFUNCTION("""COMPUTED_VALUE"""),100)</f>
        <v>100</v>
      </c>
      <c r="E568" s="131"/>
      <c r="F56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3">
        <f ca="1">IFERROR(__xludf.DUMMYFUNCTION("""COMPUTED_VALUE"""),1.656)</f>
        <v>1.6559999999999999</v>
      </c>
      <c r="H568" s="133"/>
      <c r="I568" s="134">
        <f ca="1">IFERROR(__xludf.DUMMYFUNCTION("""COMPUTED_VALUE"""),1100000)</f>
        <v>1100000</v>
      </c>
    </row>
    <row r="569" spans="2:9" x14ac:dyDescent="0.3">
      <c r="B569" s="130" t="str">
        <f ca="1">IFERROR(__xludf.DUMMYFUNCTION("""COMPUTED_VALUE"""),"круг")</f>
        <v>круг</v>
      </c>
      <c r="C569" s="125" t="str">
        <f ca="1">IFERROR(__xludf.DUMMYFUNCTION("""COMPUTED_VALUE"""),"13Х15Н4АМ3-ш (ЭП 310ш)")</f>
        <v>13Х15Н4АМ3-ш (ЭП 310ш)</v>
      </c>
      <c r="D569" s="131">
        <f ca="1">IFERROR(__xludf.DUMMYFUNCTION("""COMPUTED_VALUE"""),150)</f>
        <v>150</v>
      </c>
      <c r="E569" s="131"/>
      <c r="F569" s="13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3">
        <f ca="1">IFERROR(__xludf.DUMMYFUNCTION("""COMPUTED_VALUE"""),0.609)</f>
        <v>0.60899999999999999</v>
      </c>
      <c r="H569" s="133"/>
      <c r="I569" s="134">
        <f ca="1">IFERROR(__xludf.DUMMYFUNCTION("""COMPUTED_VALUE"""),800000)</f>
        <v>800000</v>
      </c>
    </row>
    <row r="570" spans="2:9" x14ac:dyDescent="0.3">
      <c r="B570" s="130" t="str">
        <f ca="1">IFERROR(__xludf.DUMMYFUNCTION("""COMPUTED_VALUE"""),"круг")</f>
        <v>круг</v>
      </c>
      <c r="C570" s="125" t="str">
        <f ca="1">IFERROR(__xludf.DUMMYFUNCTION("""COMPUTED_VALUE"""),"13Х11Н2В2МФ-Ш (эи961ш)")</f>
        <v>13Х11Н2В2МФ-Ш (эи961ш)</v>
      </c>
      <c r="D570" s="131">
        <f ca="1">IFERROR(__xludf.DUMMYFUNCTION("""COMPUTED_VALUE"""),8)</f>
        <v>8</v>
      </c>
      <c r="E570" s="131"/>
      <c r="F570" s="132" t="str">
        <f ca="1">IFERROR(__xludf.DUMMYFUNCTION("""COMPUTED_VALUE""")," ")</f>
        <v xml:space="preserve"> </v>
      </c>
      <c r="G570" s="133">
        <f ca="1">IFERROR(__xludf.DUMMYFUNCTION("""COMPUTED_VALUE"""),0.116999999999999)</f>
        <v>0.11699999999999899</v>
      </c>
      <c r="H570" s="133"/>
      <c r="I570" s="134">
        <f ca="1">IFERROR(__xludf.DUMMYFUNCTION("""COMPUTED_VALUE"""),1500000)</f>
        <v>1500000</v>
      </c>
    </row>
    <row r="571" spans="2:9" x14ac:dyDescent="0.3">
      <c r="B571" s="130" t="str">
        <f ca="1">IFERROR(__xludf.DUMMYFUNCTION("""COMPUTED_VALUE"""),"круг")</f>
        <v>круг</v>
      </c>
      <c r="C571" s="125" t="str">
        <f ca="1">IFERROR(__xludf.DUMMYFUNCTION("""COMPUTED_VALUE"""),"13Х11Н2В2МФ-Ш (эи961ш)")</f>
        <v>13Х11Н2В2МФ-Ш (эи961ш)</v>
      </c>
      <c r="D571" s="131">
        <f ca="1">IFERROR(__xludf.DUMMYFUNCTION("""COMPUTED_VALUE"""),10)</f>
        <v>10</v>
      </c>
      <c r="E571" s="131"/>
      <c r="F571" s="132" t="str">
        <f ca="1">IFERROR(__xludf.DUMMYFUNCTION("""COMPUTED_VALUE"""),"14-1-3297/2590, АТП , УЗК")</f>
        <v>14-1-3297/2590, АТП , УЗК</v>
      </c>
      <c r="G571" s="133">
        <f ca="1">IFERROR(__xludf.DUMMYFUNCTION("""COMPUTED_VALUE"""),0.335999999999999)</f>
        <v>0.33599999999999902</v>
      </c>
      <c r="H571" s="133"/>
      <c r="I571" s="134">
        <f ca="1">IFERROR(__xludf.DUMMYFUNCTION("""COMPUTED_VALUE"""),1350000)</f>
        <v>1350000</v>
      </c>
    </row>
    <row r="572" spans="2:9" x14ac:dyDescent="0.3">
      <c r="B572" s="130" t="str">
        <f ca="1">IFERROR(__xludf.DUMMYFUNCTION("""COMPUTED_VALUE"""),"круг")</f>
        <v>круг</v>
      </c>
      <c r="C572" s="125" t="str">
        <f ca="1">IFERROR(__xludf.DUMMYFUNCTION("""COMPUTED_VALUE"""),"13Х11Н2В2МФ-Ш (эи961ш)")</f>
        <v>13Х11Н2В2МФ-Ш (эи961ш)</v>
      </c>
      <c r="D572" s="131">
        <f ca="1">IFERROR(__xludf.DUMMYFUNCTION("""COMPUTED_VALUE"""),12)</f>
        <v>12</v>
      </c>
      <c r="E572" s="131"/>
      <c r="F572" s="132" t="str">
        <f ca="1">IFERROR(__xludf.DUMMYFUNCTION("""COMPUTED_VALUE"""),"14-1-3297/2590, АТП , УЗК")</f>
        <v>14-1-3297/2590, АТП , УЗК</v>
      </c>
      <c r="G572" s="133">
        <f ca="1">IFERROR(__xludf.DUMMYFUNCTION("""COMPUTED_VALUE"""),0.217999999999999)</f>
        <v>0.217999999999999</v>
      </c>
      <c r="H572" s="133"/>
      <c r="I572" s="134">
        <f ca="1">IFERROR(__xludf.DUMMYFUNCTION("""COMPUTED_VALUE"""),1350000)</f>
        <v>1350000</v>
      </c>
    </row>
    <row r="573" spans="2:9" x14ac:dyDescent="0.3">
      <c r="B573" s="130" t="str">
        <f ca="1">IFERROR(__xludf.DUMMYFUNCTION("""COMPUTED_VALUE"""),"круг")</f>
        <v>круг</v>
      </c>
      <c r="C573" s="125" t="str">
        <f ca="1">IFERROR(__xludf.DUMMYFUNCTION("""COMPUTED_VALUE"""),"13Х11Н2В2МФ-Ш (эи961ш)")</f>
        <v>13Х11Н2В2МФ-Ш (эи961ш)</v>
      </c>
      <c r="D573" s="131">
        <f ca="1">IFERROR(__xludf.DUMMYFUNCTION("""COMPUTED_VALUE"""),12)</f>
        <v>12</v>
      </c>
      <c r="E573" s="131"/>
      <c r="F573" s="132" t="str">
        <f ca="1">IFERROR(__xludf.DUMMYFUNCTION("""COMPUTED_VALUE"""),"14-1-3297/2590, АТП , 3гп ,без УЗК")</f>
        <v>14-1-3297/2590, АТП , 3гп ,без УЗК</v>
      </c>
      <c r="G573" s="133">
        <f ca="1">IFERROR(__xludf.DUMMYFUNCTION("""COMPUTED_VALUE"""),0.146)</f>
        <v>0.14599999999999999</v>
      </c>
      <c r="H573" s="133"/>
      <c r="I573" s="134">
        <f ca="1">IFERROR(__xludf.DUMMYFUNCTION("""COMPUTED_VALUE"""),1350000)</f>
        <v>1350000</v>
      </c>
    </row>
    <row r="574" spans="2:9" x14ac:dyDescent="0.3">
      <c r="B574" s="130" t="str">
        <f ca="1">IFERROR(__xludf.DUMMYFUNCTION("""COMPUTED_VALUE"""),"круг")</f>
        <v>круг</v>
      </c>
      <c r="C574" s="125" t="str">
        <f ca="1">IFERROR(__xludf.DUMMYFUNCTION("""COMPUTED_VALUE"""),"13Х11Н2В2МФ-Ш (эи961ш)")</f>
        <v>13Х11Н2В2МФ-Ш (эи961ш)</v>
      </c>
      <c r="D574" s="131">
        <f ca="1">IFERROR(__xludf.DUMMYFUNCTION("""COMPUTED_VALUE"""),18)</f>
        <v>18</v>
      </c>
      <c r="E574" s="131"/>
      <c r="F574" s="132" t="str">
        <f ca="1">IFERROR(__xludf.DUMMYFUNCTION("""COMPUTED_VALUE"""),"14-1-3297/2590, АТП , УЗК")</f>
        <v>14-1-3297/2590, АТП , УЗК</v>
      </c>
      <c r="G574" s="133">
        <f ca="1">IFERROR(__xludf.DUMMYFUNCTION("""COMPUTED_VALUE"""),0.0539999999999999)</f>
        <v>5.3999999999999902E-2</v>
      </c>
      <c r="H574" s="133"/>
      <c r="I574" s="134">
        <f ca="1">IFERROR(__xludf.DUMMYFUNCTION("""COMPUTED_VALUE"""),1350000)</f>
        <v>1350000</v>
      </c>
    </row>
    <row r="575" spans="2:9" x14ac:dyDescent="0.3">
      <c r="B575" s="130" t="str">
        <f ca="1">IFERROR(__xludf.DUMMYFUNCTION("""COMPUTED_VALUE"""),"круг")</f>
        <v>круг</v>
      </c>
      <c r="C575" s="125" t="str">
        <f ca="1">IFERROR(__xludf.DUMMYFUNCTION("""COMPUTED_VALUE"""),"13Х11Н2В2МФ-Ш (эи961ш)")</f>
        <v>13Х11Н2В2МФ-Ш (эи961ш)</v>
      </c>
      <c r="D575" s="131">
        <f ca="1">IFERROR(__xludf.DUMMYFUNCTION("""COMPUTED_VALUE"""),18)</f>
        <v>18</v>
      </c>
      <c r="E575" s="131"/>
      <c r="F575" s="132" t="str">
        <f ca="1">IFERROR(__xludf.DUMMYFUNCTION("""COMPUTED_VALUE"""),"ГОСТ  5949/2590, АТП . обточ.")</f>
        <v>ГОСТ  5949/2590, АТП . обточ.</v>
      </c>
      <c r="G575" s="133">
        <f ca="1">IFERROR(__xludf.DUMMYFUNCTION("""COMPUTED_VALUE"""),0.078)</f>
        <v>7.8E-2</v>
      </c>
      <c r="H575" s="133"/>
      <c r="I575" s="134">
        <f ca="1">IFERROR(__xludf.DUMMYFUNCTION("""COMPUTED_VALUE"""),1000000)</f>
        <v>1000000</v>
      </c>
    </row>
    <row r="576" spans="2:9" x14ac:dyDescent="0.3">
      <c r="B576" s="130" t="str">
        <f ca="1">IFERROR(__xludf.DUMMYFUNCTION("""COMPUTED_VALUE"""),"круг")</f>
        <v>круг</v>
      </c>
      <c r="C576" s="125" t="str">
        <f ca="1">IFERROR(__xludf.DUMMYFUNCTION("""COMPUTED_VALUE"""),"13Х11Н2В2МФ-Ш (эи961ш)")</f>
        <v>13Х11Н2В2МФ-Ш (эи961ш)</v>
      </c>
      <c r="D576" s="131">
        <f ca="1">IFERROR(__xludf.DUMMYFUNCTION("""COMPUTED_VALUE"""),18)</f>
        <v>18</v>
      </c>
      <c r="E576" s="131"/>
      <c r="F576" s="132" t="str">
        <f ca="1">IFERROR(__xludf.DUMMYFUNCTION("""COMPUTED_VALUE"""),"14-1-3297/2590, АТП , УЗК")</f>
        <v>14-1-3297/2590, АТП , УЗК</v>
      </c>
      <c r="G576" s="133">
        <f ca="1">IFERROR(__xludf.DUMMYFUNCTION("""COMPUTED_VALUE"""),0.532)</f>
        <v>0.53200000000000003</v>
      </c>
      <c r="H576" s="133"/>
      <c r="I576" s="134">
        <f ca="1">IFERROR(__xludf.DUMMYFUNCTION("""COMPUTED_VALUE"""),1350000)</f>
        <v>1350000</v>
      </c>
    </row>
    <row r="577" spans="2:9" x14ac:dyDescent="0.3">
      <c r="B577" s="130" t="str">
        <f ca="1">IFERROR(__xludf.DUMMYFUNCTION("""COMPUTED_VALUE"""),"круг")</f>
        <v>круг</v>
      </c>
      <c r="C577" s="125" t="str">
        <f ca="1">IFERROR(__xludf.DUMMYFUNCTION("""COMPUTED_VALUE"""),"13Х11Н2В2МФ-Ш (эи961ш)")</f>
        <v>13Х11Н2В2МФ-Ш (эи961ш)</v>
      </c>
      <c r="D577" s="131">
        <f ca="1">IFERROR(__xludf.DUMMYFUNCTION("""COMPUTED_VALUE"""),18)</f>
        <v>18</v>
      </c>
      <c r="E577" s="131"/>
      <c r="F577" s="132" t="str">
        <f ca="1">IFERROR(__xludf.DUMMYFUNCTION("""COMPUTED_VALUE"""),"ГОСТ  5949/2590, АТП . обточ.")</f>
        <v>ГОСТ  5949/2590, АТП . обточ.</v>
      </c>
      <c r="G577" s="133">
        <f ca="1">IFERROR(__xludf.DUMMYFUNCTION("""COMPUTED_VALUE"""),0.226)</f>
        <v>0.22600000000000001</v>
      </c>
      <c r="H577" s="133"/>
      <c r="I577" s="134">
        <f ca="1">IFERROR(__xludf.DUMMYFUNCTION("""COMPUTED_VALUE"""),1000000)</f>
        <v>1000000</v>
      </c>
    </row>
    <row r="578" spans="2:9" x14ac:dyDescent="0.3">
      <c r="B578" s="130" t="str">
        <f ca="1">IFERROR(__xludf.DUMMYFUNCTION("""COMPUTED_VALUE"""),"круг")</f>
        <v>круг</v>
      </c>
      <c r="C578" s="125" t="str">
        <f ca="1">IFERROR(__xludf.DUMMYFUNCTION("""COMPUTED_VALUE"""),"13Х11Н2В2МФ-Ш (эи961ш)")</f>
        <v>13Х11Н2В2МФ-Ш (эи961ш)</v>
      </c>
      <c r="D578" s="131">
        <f ca="1">IFERROR(__xludf.DUMMYFUNCTION("""COMPUTED_VALUE"""),20)</f>
        <v>20</v>
      </c>
      <c r="E578" s="131"/>
      <c r="F578" s="132" t="str">
        <f ca="1">IFERROR(__xludf.DUMMYFUNCTION("""COMPUTED_VALUE"""),"14-1-3297/2590, АТП , 3гп ,без УЗК")</f>
        <v>14-1-3297/2590, АТП , 3гп ,без УЗК</v>
      </c>
      <c r="G578" s="133">
        <f ca="1">IFERROR(__xludf.DUMMYFUNCTION("""COMPUTED_VALUE"""),0.91)</f>
        <v>0.91</v>
      </c>
      <c r="H578" s="133"/>
      <c r="I578" s="134">
        <f ca="1">IFERROR(__xludf.DUMMYFUNCTION("""COMPUTED_VALUE"""),1300000)</f>
        <v>1300000</v>
      </c>
    </row>
    <row r="579" spans="2:9" x14ac:dyDescent="0.3">
      <c r="B579" s="130" t="str">
        <f ca="1">IFERROR(__xludf.DUMMYFUNCTION("""COMPUTED_VALUE"""),"круг")</f>
        <v>круг</v>
      </c>
      <c r="C579" s="125" t="str">
        <f ca="1">IFERROR(__xludf.DUMMYFUNCTION("""COMPUTED_VALUE"""),"13Х11Н2В2МФ-Ш (эи961ш)")</f>
        <v>13Х11Н2В2МФ-Ш (эи961ш)</v>
      </c>
      <c r="D579" s="131">
        <f ca="1">IFERROR(__xludf.DUMMYFUNCTION("""COMPUTED_VALUE"""),22)</f>
        <v>22</v>
      </c>
      <c r="E579" s="131"/>
      <c r="F579" s="132" t="str">
        <f ca="1">IFERROR(__xludf.DUMMYFUNCTION("""COMPUTED_VALUE"""),"14-1-3297/2590, АТП , 3гп ,без УЗК")</f>
        <v>14-1-3297/2590, АТП , 3гп ,без УЗК</v>
      </c>
      <c r="G579" s="133">
        <f ca="1">IFERROR(__xludf.DUMMYFUNCTION("""COMPUTED_VALUE"""),0.756999999999999)</f>
        <v>0.75699999999999901</v>
      </c>
      <c r="H579" s="133"/>
      <c r="I579" s="134">
        <f ca="1">IFERROR(__xludf.DUMMYFUNCTION("""COMPUTED_VALUE"""),1300000)</f>
        <v>1300000</v>
      </c>
    </row>
    <row r="580" spans="2:9" x14ac:dyDescent="0.3">
      <c r="B580" s="130" t="str">
        <f ca="1">IFERROR(__xludf.DUMMYFUNCTION("""COMPUTED_VALUE"""),"круг")</f>
        <v>круг</v>
      </c>
      <c r="C580" s="125" t="str">
        <f ca="1">IFERROR(__xludf.DUMMYFUNCTION("""COMPUTED_VALUE"""),"13Х11Н2В2МФ-Ш (эи961ш)")</f>
        <v>13Х11Н2В2МФ-Ш (эи961ш)</v>
      </c>
      <c r="D580" s="131">
        <f ca="1">IFERROR(__xludf.DUMMYFUNCTION("""COMPUTED_VALUE"""),25)</f>
        <v>25</v>
      </c>
      <c r="E580" s="131"/>
      <c r="F580" s="132" t="str">
        <f ca="1">IFERROR(__xludf.DUMMYFUNCTION("""COMPUTED_VALUE"""),"14-1-3297/2590, АТП , 3гп ,без УЗК")</f>
        <v>14-1-3297/2590, АТП , 3гп ,без УЗК</v>
      </c>
      <c r="G580" s="133">
        <f ca="1">IFERROR(__xludf.DUMMYFUNCTION("""COMPUTED_VALUE"""),0.0439999999999998)</f>
        <v>4.3999999999999803E-2</v>
      </c>
      <c r="H580" s="133"/>
      <c r="I580" s="134">
        <f ca="1">IFERROR(__xludf.DUMMYFUNCTION("""COMPUTED_VALUE"""),1350000)</f>
        <v>1350000</v>
      </c>
    </row>
    <row r="581" spans="2:9" x14ac:dyDescent="0.3">
      <c r="B581" s="130" t="str">
        <f ca="1">IFERROR(__xludf.DUMMYFUNCTION("""COMPUTED_VALUE"""),"круг")</f>
        <v>круг</v>
      </c>
      <c r="C581" s="125" t="str">
        <f ca="1">IFERROR(__xludf.DUMMYFUNCTION("""COMPUTED_VALUE"""),"13Х11Н2В2МФ-Ш (эи961ш)")</f>
        <v>13Х11Н2В2МФ-Ш (эи961ш)</v>
      </c>
      <c r="D581" s="131">
        <f ca="1">IFERROR(__xludf.DUMMYFUNCTION("""COMPUTED_VALUE"""),28)</f>
        <v>28</v>
      </c>
      <c r="E581" s="131"/>
      <c r="F581" s="132" t="str">
        <f ca="1">IFERROR(__xludf.DUMMYFUNCTION("""COMPUTED_VALUE"""),"14-1-3297/2590, АТП , УЗК")</f>
        <v>14-1-3297/2590, АТП , УЗК</v>
      </c>
      <c r="G581" s="133">
        <f ca="1">IFERROR(__xludf.DUMMYFUNCTION("""COMPUTED_VALUE"""),0.04)</f>
        <v>0.04</v>
      </c>
      <c r="H581" s="133"/>
      <c r="I581" s="134">
        <f ca="1">IFERROR(__xludf.DUMMYFUNCTION("""COMPUTED_VALUE"""),1300000)</f>
        <v>1300000</v>
      </c>
    </row>
    <row r="582" spans="2:9" x14ac:dyDescent="0.3">
      <c r="B582" s="130" t="str">
        <f ca="1">IFERROR(__xludf.DUMMYFUNCTION("""COMPUTED_VALUE"""),"круг")</f>
        <v>круг</v>
      </c>
      <c r="C582" s="125" t="str">
        <f ca="1">IFERROR(__xludf.DUMMYFUNCTION("""COMPUTED_VALUE"""),"13Х11Н2В2МФ-Ш (эи961ш)")</f>
        <v>13Х11Н2В2МФ-Ш (эи961ш)</v>
      </c>
      <c r="D582" s="131">
        <f ca="1">IFERROR(__xludf.DUMMYFUNCTION("""COMPUTED_VALUE"""),28)</f>
        <v>28</v>
      </c>
      <c r="E582" s="131"/>
      <c r="F582" s="132" t="str">
        <f ca="1">IFERROR(__xludf.DUMMYFUNCTION("""COMPUTED_VALUE"""),"14-1-3297/2590, АТП , 3гп ,без УЗК")</f>
        <v>14-1-3297/2590, АТП , 3гп ,без УЗК</v>
      </c>
      <c r="G582" s="133">
        <f ca="1">IFERROR(__xludf.DUMMYFUNCTION("""COMPUTED_VALUE"""),0.996)</f>
        <v>0.996</v>
      </c>
      <c r="H582" s="133"/>
      <c r="I582" s="134">
        <f ca="1">IFERROR(__xludf.DUMMYFUNCTION("""COMPUTED_VALUE"""),1300000)</f>
        <v>1300000</v>
      </c>
    </row>
    <row r="583" spans="2:9" x14ac:dyDescent="0.3">
      <c r="B583" s="130" t="str">
        <f ca="1">IFERROR(__xludf.DUMMYFUNCTION("""COMPUTED_VALUE"""),"круг")</f>
        <v>круг</v>
      </c>
      <c r="C583" s="125" t="str">
        <f ca="1">IFERROR(__xludf.DUMMYFUNCTION("""COMPUTED_VALUE"""),"13Х11Н2В2МФ-Ш (эи961ш)")</f>
        <v>13Х11Н2В2МФ-Ш (эи961ш)</v>
      </c>
      <c r="D583" s="131">
        <f ca="1">IFERROR(__xludf.DUMMYFUNCTION("""COMPUTED_VALUE"""),30)</f>
        <v>30</v>
      </c>
      <c r="E583" s="131"/>
      <c r="F583" s="132" t="str">
        <f ca="1">IFERROR(__xludf.DUMMYFUNCTION("""COMPUTED_VALUE"""),"14-1-3297/2590 РТ ")</f>
        <v xml:space="preserve">14-1-3297/2590 РТ </v>
      </c>
      <c r="G583" s="133">
        <f ca="1">IFERROR(__xludf.DUMMYFUNCTION("""COMPUTED_VALUE"""),0.409)</f>
        <v>0.40899999999999997</v>
      </c>
      <c r="H583" s="133"/>
      <c r="I583" s="134">
        <f ca="1">IFERROR(__xludf.DUMMYFUNCTION("""COMPUTED_VALUE"""),1350000)</f>
        <v>1350000</v>
      </c>
    </row>
    <row r="584" spans="2:9" x14ac:dyDescent="0.3">
      <c r="B584" s="130" t="str">
        <f ca="1">IFERROR(__xludf.DUMMYFUNCTION("""COMPUTED_VALUE"""),"круг")</f>
        <v>круг</v>
      </c>
      <c r="C584" s="125" t="str">
        <f ca="1">IFERROR(__xludf.DUMMYFUNCTION("""COMPUTED_VALUE"""),"13Х11Н2В2МФ-Ш (эи961ш)")</f>
        <v>13Х11Н2В2МФ-Ш (эи961ш)</v>
      </c>
      <c r="D584" s="131">
        <f ca="1">IFERROR(__xludf.DUMMYFUNCTION("""COMPUTED_VALUE"""),30)</f>
        <v>30</v>
      </c>
      <c r="E584" s="131"/>
      <c r="F584" s="132" t="str">
        <f ca="1">IFERROR(__xludf.DUMMYFUNCTION("""COMPUTED_VALUE"""),"14-1-3297/2590, АТП , 3гп ,без УЗК")</f>
        <v>14-1-3297/2590, АТП , 3гп ,без УЗК</v>
      </c>
      <c r="G584" s="133">
        <f ca="1">IFERROR(__xludf.DUMMYFUNCTION("""COMPUTED_VALUE"""),2.091)</f>
        <v>2.0910000000000002</v>
      </c>
      <c r="H584" s="133"/>
      <c r="I584" s="134">
        <f ca="1">IFERROR(__xludf.DUMMYFUNCTION("""COMPUTED_VALUE"""),1300000)</f>
        <v>1300000</v>
      </c>
    </row>
    <row r="585" spans="2:9" x14ac:dyDescent="0.3">
      <c r="B585" s="130" t="str">
        <f ca="1">IFERROR(__xludf.DUMMYFUNCTION("""COMPUTED_VALUE"""),"круг")</f>
        <v>круг</v>
      </c>
      <c r="C585" s="125" t="str">
        <f ca="1">IFERROR(__xludf.DUMMYFUNCTION("""COMPUTED_VALUE"""),"13Х11Н2В2МФ-Ш (эи961ш)")</f>
        <v>13Х11Н2В2МФ-Ш (эи961ш)</v>
      </c>
      <c r="D585" s="131">
        <f ca="1">IFERROR(__xludf.DUMMYFUNCTION("""COMPUTED_VALUE"""),36)</f>
        <v>36</v>
      </c>
      <c r="E585" s="131"/>
      <c r="F585" s="132" t="str">
        <f ca="1">IFERROR(__xludf.DUMMYFUNCTION("""COMPUTED_VALUE"""),"14-1-3297/2590, АТП , 3гп ,без УЗК")</f>
        <v>14-1-3297/2590, АТП , 3гп ,без УЗК</v>
      </c>
      <c r="G585" s="133">
        <f ca="1">IFERROR(__xludf.DUMMYFUNCTION("""COMPUTED_VALUE"""),0.126999999999999)</f>
        <v>0.126999999999999</v>
      </c>
      <c r="H585" s="133"/>
      <c r="I585" s="134">
        <f ca="1">IFERROR(__xludf.DUMMYFUNCTION("""COMPUTED_VALUE"""),1300000)</f>
        <v>1300000</v>
      </c>
    </row>
    <row r="586" spans="2:9" x14ac:dyDescent="0.3">
      <c r="B586" s="130" t="str">
        <f ca="1">IFERROR(__xludf.DUMMYFUNCTION("""COMPUTED_VALUE"""),"круг")</f>
        <v>круг</v>
      </c>
      <c r="C586" s="125" t="str">
        <f ca="1">IFERROR(__xludf.DUMMYFUNCTION("""COMPUTED_VALUE"""),"13Х11Н2В2МФ-Ш (эи961ш)")</f>
        <v>13Х11Н2В2МФ-Ш (эи961ш)</v>
      </c>
      <c r="D586" s="131">
        <f ca="1">IFERROR(__xludf.DUMMYFUNCTION("""COMPUTED_VALUE"""),36)</f>
        <v>36</v>
      </c>
      <c r="E586" s="131"/>
      <c r="F586" s="132" t="str">
        <f ca="1">IFERROR(__xludf.DUMMYFUNCTION("""COMPUTED_VALUE"""),"14-1-3297/2590, АТП , 3гп ,без УЗК")</f>
        <v>14-1-3297/2590, АТП , 3гп ,без УЗК</v>
      </c>
      <c r="G586" s="133">
        <f ca="1">IFERROR(__xludf.DUMMYFUNCTION("""COMPUTED_VALUE"""),0.944)</f>
        <v>0.94399999999999995</v>
      </c>
      <c r="H586" s="133"/>
      <c r="I586" s="134">
        <f ca="1">IFERROR(__xludf.DUMMYFUNCTION("""COMPUTED_VALUE"""),1300000)</f>
        <v>1300000</v>
      </c>
    </row>
    <row r="587" spans="2:9" x14ac:dyDescent="0.3">
      <c r="B587" s="130" t="str">
        <f ca="1">IFERROR(__xludf.DUMMYFUNCTION("""COMPUTED_VALUE"""),"круг")</f>
        <v>круг</v>
      </c>
      <c r="C587" s="125" t="str">
        <f ca="1">IFERROR(__xludf.DUMMYFUNCTION("""COMPUTED_VALUE"""),"13Х11Н2В2МФ-Ш (эи961ш)")</f>
        <v>13Х11Н2В2МФ-Ш (эи961ш)</v>
      </c>
      <c r="D587" s="131">
        <f ca="1">IFERROR(__xludf.DUMMYFUNCTION("""COMPUTED_VALUE"""),36)</f>
        <v>36</v>
      </c>
      <c r="E587" s="131"/>
      <c r="F587" s="132" t="str">
        <f ca="1">IFERROR(__xludf.DUMMYFUNCTION("""COMPUTED_VALUE"""),"14-1-3297/2590, АТП , 3гп ,без УЗК")</f>
        <v>14-1-3297/2590, АТП , 3гп ,без УЗК</v>
      </c>
      <c r="G587" s="133">
        <f ca="1">IFERROR(__xludf.DUMMYFUNCTION("""COMPUTED_VALUE"""),0.037)</f>
        <v>3.6999999999999998E-2</v>
      </c>
      <c r="H587" s="133"/>
      <c r="I587" s="134">
        <f ca="1">IFERROR(__xludf.DUMMYFUNCTION("""COMPUTED_VALUE"""),1300000)</f>
        <v>1300000</v>
      </c>
    </row>
    <row r="588" spans="2:9" x14ac:dyDescent="0.3">
      <c r="B588" s="130" t="str">
        <f ca="1">IFERROR(__xludf.DUMMYFUNCTION("""COMPUTED_VALUE"""),"круг")</f>
        <v>круг</v>
      </c>
      <c r="C588" s="125" t="str">
        <f ca="1">IFERROR(__xludf.DUMMYFUNCTION("""COMPUTED_VALUE"""),"13Х11Н2В2МФ-Ш (эи961ш)")</f>
        <v>13Х11Н2В2МФ-Ш (эи961ш)</v>
      </c>
      <c r="D588" s="131">
        <f ca="1">IFERROR(__xludf.DUMMYFUNCTION("""COMPUTED_VALUE"""),40)</f>
        <v>40</v>
      </c>
      <c r="E588" s="131"/>
      <c r="F588" s="132" t="str">
        <f ca="1">IFERROR(__xludf.DUMMYFUNCTION("""COMPUTED_VALUE"""),"14-1-3297/2590 РТ ")</f>
        <v xml:space="preserve">14-1-3297/2590 РТ </v>
      </c>
      <c r="G588" s="133">
        <f ca="1">IFERROR(__xludf.DUMMYFUNCTION("""COMPUTED_VALUE"""),0.847)</f>
        <v>0.84699999999999998</v>
      </c>
      <c r="H588" s="133"/>
      <c r="I588" s="134">
        <f ca="1">IFERROR(__xludf.DUMMYFUNCTION("""COMPUTED_VALUE"""),1350000)</f>
        <v>1350000</v>
      </c>
    </row>
    <row r="589" spans="2:9" x14ac:dyDescent="0.3">
      <c r="B589" s="130" t="str">
        <f ca="1">IFERROR(__xludf.DUMMYFUNCTION("""COMPUTED_VALUE"""),"круг")</f>
        <v>круг</v>
      </c>
      <c r="C589" s="125" t="str">
        <f ca="1">IFERROR(__xludf.DUMMYFUNCTION("""COMPUTED_VALUE"""),"13Х11Н2В2МФ-Ш (эи961ш)")</f>
        <v>13Х11Н2В2МФ-Ш (эи961ш)</v>
      </c>
      <c r="D589" s="131">
        <f ca="1">IFERROR(__xludf.DUMMYFUNCTION("""COMPUTED_VALUE"""),40)</f>
        <v>40</v>
      </c>
      <c r="E589" s="131"/>
      <c r="F589" s="132" t="str">
        <f ca="1">IFERROR(__xludf.DUMMYFUNCTION("""COMPUTED_VALUE"""),"14-1-3297/2590, АТП , 3гп ,без УЗК")</f>
        <v>14-1-3297/2590, АТП , 3гп ,без УЗК</v>
      </c>
      <c r="G589" s="133">
        <f ca="1">IFERROR(__xludf.DUMMYFUNCTION("""COMPUTED_VALUE"""),2.045)</f>
        <v>2.0449999999999999</v>
      </c>
      <c r="H589" s="133"/>
      <c r="I589" s="134">
        <f ca="1">IFERROR(__xludf.DUMMYFUNCTION("""COMPUTED_VALUE"""),1350000)</f>
        <v>1350000</v>
      </c>
    </row>
    <row r="590" spans="2:9" x14ac:dyDescent="0.3">
      <c r="B590" s="130" t="str">
        <f ca="1">IFERROR(__xludf.DUMMYFUNCTION("""COMPUTED_VALUE"""),"круг")</f>
        <v>круг</v>
      </c>
      <c r="C590" s="125" t="str">
        <f ca="1">IFERROR(__xludf.DUMMYFUNCTION("""COMPUTED_VALUE"""),"13Х11Н2В2МФ-Ш (эи961ш)")</f>
        <v>13Х11Н2В2МФ-Ш (эи961ш)</v>
      </c>
      <c r="D590" s="131">
        <f ca="1">IFERROR(__xludf.DUMMYFUNCTION("""COMPUTED_VALUE"""),45)</f>
        <v>45</v>
      </c>
      <c r="E590" s="131"/>
      <c r="F590" s="132" t="str">
        <f ca="1">IFERROR(__xludf.DUMMYFUNCTION("""COMPUTED_VALUE"""),"14-1-3297/2590")</f>
        <v>14-1-3297/2590</v>
      </c>
      <c r="G590" s="133">
        <f ca="1">IFERROR(__xludf.DUMMYFUNCTION("""COMPUTED_VALUE"""),0.0569999999999999)</f>
        <v>5.6999999999999898E-2</v>
      </c>
      <c r="H590" s="133"/>
      <c r="I590" s="134">
        <f ca="1">IFERROR(__xludf.DUMMYFUNCTION("""COMPUTED_VALUE"""),1300000)</f>
        <v>1300000</v>
      </c>
    </row>
    <row r="591" spans="2:9" x14ac:dyDescent="0.3">
      <c r="B591" s="130" t="str">
        <f ca="1">IFERROR(__xludf.DUMMYFUNCTION("""COMPUTED_VALUE"""),"круг")</f>
        <v>круг</v>
      </c>
      <c r="C591" s="125" t="str">
        <f ca="1">IFERROR(__xludf.DUMMYFUNCTION("""COMPUTED_VALUE"""),"13Х11Н2В2МФ-Ш (эи961ш)")</f>
        <v>13Х11Н2В2МФ-Ш (эи961ш)</v>
      </c>
      <c r="D591" s="131">
        <f ca="1">IFERROR(__xludf.DUMMYFUNCTION("""COMPUTED_VALUE"""),56)</f>
        <v>56</v>
      </c>
      <c r="E591" s="131"/>
      <c r="F591" s="132" t="str">
        <f ca="1">IFERROR(__xludf.DUMMYFUNCTION("""COMPUTED_VALUE"""),"14-1-3297/2590")</f>
        <v>14-1-3297/2590</v>
      </c>
      <c r="G591" s="133">
        <f ca="1">IFERROR(__xludf.DUMMYFUNCTION("""COMPUTED_VALUE"""),0.909)</f>
        <v>0.90900000000000003</v>
      </c>
      <c r="H591" s="133"/>
      <c r="I591" s="134">
        <f ca="1">IFERROR(__xludf.DUMMYFUNCTION("""COMPUTED_VALUE"""),1100000)</f>
        <v>1100000</v>
      </c>
    </row>
    <row r="592" spans="2:9" x14ac:dyDescent="0.3">
      <c r="B592" s="130" t="str">
        <f ca="1">IFERROR(__xludf.DUMMYFUNCTION("""COMPUTED_VALUE"""),"круг")</f>
        <v>круг</v>
      </c>
      <c r="C592" s="125" t="str">
        <f ca="1">IFERROR(__xludf.DUMMYFUNCTION("""COMPUTED_VALUE"""),"13Х11Н2В2МФ-Ш (эи961ш)")</f>
        <v>13Х11Н2В2МФ-Ш (эи961ш)</v>
      </c>
      <c r="D592" s="131">
        <f ca="1">IFERROR(__xludf.DUMMYFUNCTION("""COMPUTED_VALUE"""),60)</f>
        <v>60</v>
      </c>
      <c r="E592" s="131"/>
      <c r="F592" s="132" t="str">
        <f ca="1">IFERROR(__xludf.DUMMYFUNCTION("""COMPUTED_VALUE"""),"14-1-3297/2590, РТТ")</f>
        <v>14-1-3297/2590, РТТ</v>
      </c>
      <c r="G592" s="133">
        <f ca="1">IFERROR(__xludf.DUMMYFUNCTION("""COMPUTED_VALUE"""),0.764)</f>
        <v>0.76400000000000001</v>
      </c>
      <c r="H592" s="133"/>
      <c r="I592" s="134">
        <f ca="1">IFERROR(__xludf.DUMMYFUNCTION("""COMPUTED_VALUE"""),1100000)</f>
        <v>1100000</v>
      </c>
    </row>
    <row r="593" spans="2:9" x14ac:dyDescent="0.3">
      <c r="B593" s="130" t="str">
        <f ca="1">IFERROR(__xludf.DUMMYFUNCTION("""COMPUTED_VALUE"""),"круг")</f>
        <v>круг</v>
      </c>
      <c r="C593" s="125" t="str">
        <f ca="1">IFERROR(__xludf.DUMMYFUNCTION("""COMPUTED_VALUE"""),"13Х11Н2В2МФ-Ш (эи961ш)")</f>
        <v>13Х11Н2В2МФ-Ш (эи961ш)</v>
      </c>
      <c r="D593" s="131">
        <f ca="1">IFERROR(__xludf.DUMMYFUNCTION("""COMPUTED_VALUE"""),60)</f>
        <v>60</v>
      </c>
      <c r="E593" s="131"/>
      <c r="F593" s="132" t="str">
        <f ca="1">IFERROR(__xludf.DUMMYFUNCTION("""COMPUTED_VALUE"""),"14-1-3297/2590  РТ, УЗК, об, отж.")</f>
        <v>14-1-3297/2590  РТ, УЗК, об, отж.</v>
      </c>
      <c r="G593" s="133">
        <f ca="1">IFERROR(__xludf.DUMMYFUNCTION("""COMPUTED_VALUE"""),1.968)</f>
        <v>1.968</v>
      </c>
      <c r="H593" s="133"/>
      <c r="I593" s="134">
        <f ca="1">IFERROR(__xludf.DUMMYFUNCTION("""COMPUTED_VALUE"""),1100000)</f>
        <v>1100000</v>
      </c>
    </row>
    <row r="594" spans="2:9" x14ac:dyDescent="0.3">
      <c r="B594" s="130" t="str">
        <f ca="1">IFERROR(__xludf.DUMMYFUNCTION("""COMPUTED_VALUE"""),"круг")</f>
        <v>круг</v>
      </c>
      <c r="C594" s="125" t="str">
        <f ca="1">IFERROR(__xludf.DUMMYFUNCTION("""COMPUTED_VALUE"""),"13Х11Н2В2МФ-Ш (эи961ш)")</f>
        <v>13Х11Н2В2МФ-Ш (эи961ш)</v>
      </c>
      <c r="D594" s="131">
        <f ca="1">IFERROR(__xludf.DUMMYFUNCTION("""COMPUTED_VALUE"""),65)</f>
        <v>65</v>
      </c>
      <c r="E594" s="131"/>
      <c r="F594" s="132" t="str">
        <f ca="1">IFERROR(__xludf.DUMMYFUNCTION("""COMPUTED_VALUE"""),"14-1-3297/2590, АТП , 3гп ,без УЗК")</f>
        <v>14-1-3297/2590, АТП , 3гп ,без УЗК</v>
      </c>
      <c r="G594" s="133">
        <f ca="1">IFERROR(__xludf.DUMMYFUNCTION("""COMPUTED_VALUE"""),1.01199999999999)</f>
        <v>1.01199999999999</v>
      </c>
      <c r="H594" s="133"/>
      <c r="I594" s="134">
        <f ca="1">IFERROR(__xludf.DUMMYFUNCTION("""COMPUTED_VALUE"""),1350000)</f>
        <v>1350000</v>
      </c>
    </row>
    <row r="595" spans="2:9" x14ac:dyDescent="0.3">
      <c r="B595" s="130" t="str">
        <f ca="1">IFERROR(__xludf.DUMMYFUNCTION("""COMPUTED_VALUE"""),"круг")</f>
        <v>круг</v>
      </c>
      <c r="C595" s="125" t="str">
        <f ca="1">IFERROR(__xludf.DUMMYFUNCTION("""COMPUTED_VALUE"""),"13Х11Н2В2МФ-Ш (эи961ш)")</f>
        <v>13Х11Н2В2МФ-Ш (эи961ш)</v>
      </c>
      <c r="D595" s="131">
        <f ca="1">IFERROR(__xludf.DUMMYFUNCTION("""COMPUTED_VALUE"""),70)</f>
        <v>70</v>
      </c>
      <c r="E595" s="131"/>
      <c r="F595" s="132" t="str">
        <f ca="1">IFERROR(__xludf.DUMMYFUNCTION("""COMPUTED_VALUE"""),"14-1-3297/2590  РТ, ")</f>
        <v xml:space="preserve">14-1-3297/2590  РТ, </v>
      </c>
      <c r="G595" s="133">
        <f ca="1">IFERROR(__xludf.DUMMYFUNCTION("""COMPUTED_VALUE"""),0.0189999999999999)</f>
        <v>1.8999999999999899E-2</v>
      </c>
      <c r="H595" s="133"/>
      <c r="I595" s="134">
        <f ca="1">IFERROR(__xludf.DUMMYFUNCTION("""COMPUTED_VALUE"""),1100000)</f>
        <v>1100000</v>
      </c>
    </row>
    <row r="596" spans="2:9" x14ac:dyDescent="0.3">
      <c r="B596" s="130" t="str">
        <f ca="1">IFERROR(__xludf.DUMMYFUNCTION("""COMPUTED_VALUE"""),"круг")</f>
        <v>круг</v>
      </c>
      <c r="C596" s="125" t="str">
        <f ca="1">IFERROR(__xludf.DUMMYFUNCTION("""COMPUTED_VALUE"""),"13Х11Н2В2МФ-Ш (эи961ш)")</f>
        <v>13Х11Н2В2МФ-Ш (эи961ш)</v>
      </c>
      <c r="D596" s="131">
        <f ca="1">IFERROR(__xludf.DUMMYFUNCTION("""COMPUTED_VALUE"""),70)</f>
        <v>70</v>
      </c>
      <c r="E596" s="131"/>
      <c r="F596" s="132" t="str">
        <f ca="1">IFERROR(__xludf.DUMMYFUNCTION("""COMPUTED_VALUE"""),"14-1-3297/2590, АТП , 3гп ,без УЗК")</f>
        <v>14-1-3297/2590, АТП , 3гп ,без УЗК</v>
      </c>
      <c r="G596" s="133">
        <f ca="1">IFERROR(__xludf.DUMMYFUNCTION("""COMPUTED_VALUE"""),0.401)</f>
        <v>0.40100000000000002</v>
      </c>
      <c r="H596" s="133"/>
      <c r="I596" s="134">
        <f ca="1">IFERROR(__xludf.DUMMYFUNCTION("""COMPUTED_VALUE"""),1100000)</f>
        <v>1100000</v>
      </c>
    </row>
    <row r="597" spans="2:9" x14ac:dyDescent="0.3">
      <c r="B597" s="130" t="str">
        <f ca="1">IFERROR(__xludf.DUMMYFUNCTION("""COMPUTED_VALUE"""),"круг")</f>
        <v>круг</v>
      </c>
      <c r="C597" s="125" t="str">
        <f ca="1">IFERROR(__xludf.DUMMYFUNCTION("""COMPUTED_VALUE"""),"13Х11Н2В2МФ-Ш (эи961ш)")</f>
        <v>13Х11Н2В2МФ-Ш (эи961ш)</v>
      </c>
      <c r="D597" s="131">
        <f ca="1">IFERROR(__xludf.DUMMYFUNCTION("""COMPUTED_VALUE"""),70)</f>
        <v>70</v>
      </c>
      <c r="E597" s="131"/>
      <c r="F597" s="132" t="str">
        <f ca="1">IFERROR(__xludf.DUMMYFUNCTION("""COMPUTED_VALUE"""),"14-1-3297/2590, АТП , УЗК")</f>
        <v>14-1-3297/2590, АТП , УЗК</v>
      </c>
      <c r="G597" s="133">
        <f ca="1">IFERROR(__xludf.DUMMYFUNCTION("""COMPUTED_VALUE"""),0.705)</f>
        <v>0.70499999999999996</v>
      </c>
      <c r="H597" s="133"/>
      <c r="I597" s="134">
        <f ca="1">IFERROR(__xludf.DUMMYFUNCTION("""COMPUTED_VALUE"""),1100000)</f>
        <v>1100000</v>
      </c>
    </row>
    <row r="598" spans="2:9" x14ac:dyDescent="0.3">
      <c r="B598" s="130" t="str">
        <f ca="1">IFERROR(__xludf.DUMMYFUNCTION("""COMPUTED_VALUE"""),"круг")</f>
        <v>круг</v>
      </c>
      <c r="C598" s="125" t="str">
        <f ca="1">IFERROR(__xludf.DUMMYFUNCTION("""COMPUTED_VALUE"""),"13Х11Н2В2МФ-Ш (эи961ш)")</f>
        <v>13Х11Н2В2МФ-Ш (эи961ш)</v>
      </c>
      <c r="D598" s="131">
        <f ca="1">IFERROR(__xludf.DUMMYFUNCTION("""COMPUTED_VALUE"""),70)</f>
        <v>70</v>
      </c>
      <c r="E598" s="131"/>
      <c r="F598" s="132" t="str">
        <f ca="1">IFERROR(__xludf.DUMMYFUNCTION("""COMPUTED_VALUE"""),"14-1-3297/2590, АТП , УЗК")</f>
        <v>14-1-3297/2590, АТП , УЗК</v>
      </c>
      <c r="G598" s="133">
        <f ca="1">IFERROR(__xludf.DUMMYFUNCTION("""COMPUTED_VALUE"""),0.715)</f>
        <v>0.71499999999999997</v>
      </c>
      <c r="H598" s="133"/>
      <c r="I598" s="134">
        <f ca="1">IFERROR(__xludf.DUMMYFUNCTION("""COMPUTED_VALUE"""),1100000)</f>
        <v>1100000</v>
      </c>
    </row>
    <row r="599" spans="2:9" x14ac:dyDescent="0.3">
      <c r="B599" s="130" t="str">
        <f ca="1">IFERROR(__xludf.DUMMYFUNCTION("""COMPUTED_VALUE"""),"круг")</f>
        <v>круг</v>
      </c>
      <c r="C599" s="125" t="str">
        <f ca="1">IFERROR(__xludf.DUMMYFUNCTION("""COMPUTED_VALUE"""),"13Х11Н2В2МФ-Ш (эи961ш)")</f>
        <v>13Х11Н2В2МФ-Ш (эи961ш)</v>
      </c>
      <c r="D599" s="131">
        <f ca="1">IFERROR(__xludf.DUMMYFUNCTION("""COMPUTED_VALUE"""),70)</f>
        <v>70</v>
      </c>
      <c r="E599" s="131"/>
      <c r="F599" s="132" t="str">
        <f ca="1">IFERROR(__xludf.DUMMYFUNCTION("""COMPUTED_VALUE"""),"14-1-3297/2590, АТП , 3гп ,без УЗК")</f>
        <v>14-1-3297/2590, АТП , 3гп ,без УЗК</v>
      </c>
      <c r="G599" s="133">
        <f ca="1">IFERROR(__xludf.DUMMYFUNCTION("""COMPUTED_VALUE"""),0.41)</f>
        <v>0.41</v>
      </c>
      <c r="H599" s="133"/>
      <c r="I599" s="134">
        <f ca="1">IFERROR(__xludf.DUMMYFUNCTION("""COMPUTED_VALUE"""),1100000)</f>
        <v>1100000</v>
      </c>
    </row>
    <row r="600" spans="2:9" x14ac:dyDescent="0.3">
      <c r="B600" s="130" t="str">
        <f ca="1">IFERROR(__xludf.DUMMYFUNCTION("""COMPUTED_VALUE"""),"круг")</f>
        <v>круг</v>
      </c>
      <c r="C600" s="125" t="str">
        <f ca="1">IFERROR(__xludf.DUMMYFUNCTION("""COMPUTED_VALUE"""),"13Х11Н2В2МФ-Ш (эи961ш)")</f>
        <v>13Х11Н2В2МФ-Ш (эи961ш)</v>
      </c>
      <c r="D600" s="131">
        <f ca="1">IFERROR(__xludf.DUMMYFUNCTION("""COMPUTED_VALUE"""),80)</f>
        <v>80</v>
      </c>
      <c r="E600" s="131"/>
      <c r="F600" s="132" t="str">
        <f ca="1">IFERROR(__xludf.DUMMYFUNCTION("""COMPUTED_VALUE"""),"14-1-3297/2590 РТ ")</f>
        <v xml:space="preserve">14-1-3297/2590 РТ </v>
      </c>
      <c r="G600" s="133">
        <f ca="1">IFERROR(__xludf.DUMMYFUNCTION("""COMPUTED_VALUE"""),1.049)</f>
        <v>1.0489999999999999</v>
      </c>
      <c r="H600" s="133"/>
      <c r="I600" s="134">
        <f ca="1">IFERROR(__xludf.DUMMYFUNCTION("""COMPUTED_VALUE"""),1100000)</f>
        <v>1100000</v>
      </c>
    </row>
    <row r="601" spans="2:9" x14ac:dyDescent="0.3">
      <c r="B601" s="130" t="str">
        <f ca="1">IFERROR(__xludf.DUMMYFUNCTION("""COMPUTED_VALUE"""),"круг")</f>
        <v>круг</v>
      </c>
      <c r="C601" s="125" t="str">
        <f ca="1">IFERROR(__xludf.DUMMYFUNCTION("""COMPUTED_VALUE"""),"13Х11Н2В2МФ-Ш (эи961ш)")</f>
        <v>13Х11Н2В2МФ-Ш (эи961ш)</v>
      </c>
      <c r="D601" s="131">
        <f ca="1">IFERROR(__xludf.DUMMYFUNCTION("""COMPUTED_VALUE"""),80)</f>
        <v>80</v>
      </c>
      <c r="E601" s="131"/>
      <c r="F601" s="132" t="str">
        <f ca="1">IFERROR(__xludf.DUMMYFUNCTION("""COMPUTED_VALUE"""),"14-1-3297/2590 РТ ")</f>
        <v xml:space="preserve">14-1-3297/2590 РТ </v>
      </c>
      <c r="G601" s="133">
        <f ca="1">IFERROR(__xludf.DUMMYFUNCTION("""COMPUTED_VALUE"""),0.65)</f>
        <v>0.65</v>
      </c>
      <c r="H601" s="133"/>
      <c r="I601" s="134">
        <f ca="1">IFERROR(__xludf.DUMMYFUNCTION("""COMPUTED_VALUE"""),1100000)</f>
        <v>1100000</v>
      </c>
    </row>
    <row r="602" spans="2:9" x14ac:dyDescent="0.3">
      <c r="B602" s="130" t="str">
        <f ca="1">IFERROR(__xludf.DUMMYFUNCTION("""COMPUTED_VALUE"""),"круг")</f>
        <v>круг</v>
      </c>
      <c r="C602" s="125" t="str">
        <f ca="1">IFERROR(__xludf.DUMMYFUNCTION("""COMPUTED_VALUE"""),"13Х11Н2В2МФ-Ш (эи961ш)")</f>
        <v>13Х11Н2В2МФ-Ш (эи961ш)</v>
      </c>
      <c r="D602" s="131">
        <f ca="1">IFERROR(__xludf.DUMMYFUNCTION("""COMPUTED_VALUE"""),80)</f>
        <v>80</v>
      </c>
      <c r="E602" s="131"/>
      <c r="F602" s="132" t="str">
        <f ca="1">IFERROR(__xludf.DUMMYFUNCTION("""COMPUTED_VALUE"""),"14-1-3297/2590, АТП , 3гп ,без УЗК")</f>
        <v>14-1-3297/2590, АТП , 3гп ,без УЗК</v>
      </c>
      <c r="G602" s="133">
        <f ca="1">IFERROR(__xludf.DUMMYFUNCTION("""COMPUTED_VALUE"""),0.345)</f>
        <v>0.34499999999999997</v>
      </c>
      <c r="H602" s="133"/>
      <c r="I602" s="134">
        <f ca="1">IFERROR(__xludf.DUMMYFUNCTION("""COMPUTED_VALUE"""),1100000)</f>
        <v>1100000</v>
      </c>
    </row>
    <row r="603" spans="2:9" x14ac:dyDescent="0.3">
      <c r="B603" s="130" t="str">
        <f ca="1">IFERROR(__xludf.DUMMYFUNCTION("""COMPUTED_VALUE"""),"круг")</f>
        <v>круг</v>
      </c>
      <c r="C603" s="125" t="str">
        <f ca="1">IFERROR(__xludf.DUMMYFUNCTION("""COMPUTED_VALUE"""),"13Х11Н2В2МФ-Ш (эи961ш)")</f>
        <v>13Х11Н2В2МФ-Ш (эи961ш)</v>
      </c>
      <c r="D603" s="131">
        <f ca="1">IFERROR(__xludf.DUMMYFUNCTION("""COMPUTED_VALUE"""),80)</f>
        <v>80</v>
      </c>
      <c r="E603" s="131"/>
      <c r="F603" s="132" t="str">
        <f ca="1">IFERROR(__xludf.DUMMYFUNCTION("""COMPUTED_VALUE"""),"14-1-3297/2590, АТП , 3гп ,без УЗК")</f>
        <v>14-1-3297/2590, АТП , 3гп ,без УЗК</v>
      </c>
      <c r="G603" s="133">
        <f ca="1">IFERROR(__xludf.DUMMYFUNCTION("""COMPUTED_VALUE"""),1.38)</f>
        <v>1.38</v>
      </c>
      <c r="H603" s="133"/>
      <c r="I603" s="134">
        <f ca="1">IFERROR(__xludf.DUMMYFUNCTION("""COMPUTED_VALUE"""),1100000)</f>
        <v>1100000</v>
      </c>
    </row>
    <row r="604" spans="2:9" x14ac:dyDescent="0.3">
      <c r="B604" s="130" t="str">
        <f ca="1">IFERROR(__xludf.DUMMYFUNCTION("""COMPUTED_VALUE"""),"круг")</f>
        <v>круг</v>
      </c>
      <c r="C604" s="125" t="str">
        <f ca="1">IFERROR(__xludf.DUMMYFUNCTION("""COMPUTED_VALUE"""),"13Х11Н2В2МФ-Ш (эи961ш)")</f>
        <v>13Х11Н2В2МФ-Ш (эи961ш)</v>
      </c>
      <c r="D604" s="131">
        <f ca="1">IFERROR(__xludf.DUMMYFUNCTION("""COMPUTED_VALUE"""),90)</f>
        <v>90</v>
      </c>
      <c r="E604" s="131"/>
      <c r="F604" s="132" t="str">
        <f ca="1">IFERROR(__xludf.DUMMYFUNCTION("""COMPUTED_VALUE"""),"14-1-3297/2590  РТ, ")</f>
        <v xml:space="preserve">14-1-3297/2590  РТ, </v>
      </c>
      <c r="G604" s="133">
        <f ca="1">IFERROR(__xludf.DUMMYFUNCTION("""COMPUTED_VALUE"""),0.127)</f>
        <v>0.127</v>
      </c>
      <c r="H604" s="133"/>
      <c r="I604" s="134">
        <f ca="1">IFERROR(__xludf.DUMMYFUNCTION("""COMPUTED_VALUE"""),1100000)</f>
        <v>1100000</v>
      </c>
    </row>
    <row r="605" spans="2:9" x14ac:dyDescent="0.3">
      <c r="B605" s="130" t="str">
        <f ca="1">IFERROR(__xludf.DUMMYFUNCTION("""COMPUTED_VALUE"""),"круг")</f>
        <v>круг</v>
      </c>
      <c r="C605" s="125" t="str">
        <f ca="1">IFERROR(__xludf.DUMMYFUNCTION("""COMPUTED_VALUE"""),"13Х11Н2В2МФ-Ш (эи961ш)")</f>
        <v>13Х11Н2В2МФ-Ш (эи961ш)</v>
      </c>
      <c r="D605" s="131">
        <f ca="1">IFERROR(__xludf.DUMMYFUNCTION("""COMPUTED_VALUE"""),90)</f>
        <v>90</v>
      </c>
      <c r="E605" s="131"/>
      <c r="F605" s="132" t="str">
        <f ca="1">IFERROR(__xludf.DUMMYFUNCTION("""COMPUTED_VALUE"""),"14-1-3297/2590 РТ ")</f>
        <v xml:space="preserve">14-1-3297/2590 РТ </v>
      </c>
      <c r="G605" s="133">
        <f ca="1">IFERROR(__xludf.DUMMYFUNCTION("""COMPUTED_VALUE"""),1.275)</f>
        <v>1.2749999999999999</v>
      </c>
      <c r="H605" s="133"/>
      <c r="I605" s="134">
        <f ca="1">IFERROR(__xludf.DUMMYFUNCTION("""COMPUTED_VALUE"""),1100000)</f>
        <v>1100000</v>
      </c>
    </row>
    <row r="606" spans="2:9" x14ac:dyDescent="0.3">
      <c r="B606" s="130" t="str">
        <f ca="1">IFERROR(__xludf.DUMMYFUNCTION("""COMPUTED_VALUE"""),"круг")</f>
        <v>круг</v>
      </c>
      <c r="C606" s="125" t="str">
        <f ca="1">IFERROR(__xludf.DUMMYFUNCTION("""COMPUTED_VALUE"""),"13Х11Н2В2МФ-Ш (эи961ш)")</f>
        <v>13Х11Н2В2МФ-Ш (эи961ш)</v>
      </c>
      <c r="D606" s="131">
        <f ca="1">IFERROR(__xludf.DUMMYFUNCTION("""COMPUTED_VALUE"""),90)</f>
        <v>90</v>
      </c>
      <c r="E606" s="131"/>
      <c r="F606" s="132" t="str">
        <f ca="1">IFERROR(__xludf.DUMMYFUNCTION("""COMPUTED_VALUE"""),"14-1-3297/2590, АТП , 3гп ,без УЗК")</f>
        <v>14-1-3297/2590, АТП , 3гп ,без УЗК</v>
      </c>
      <c r="G606" s="133">
        <f ca="1">IFERROR(__xludf.DUMMYFUNCTION("""COMPUTED_VALUE"""),2)</f>
        <v>2</v>
      </c>
      <c r="H606" s="133"/>
      <c r="I606" s="134">
        <f ca="1">IFERROR(__xludf.DUMMYFUNCTION("""COMPUTED_VALUE"""),1100000)</f>
        <v>1100000</v>
      </c>
    </row>
    <row r="607" spans="2:9" x14ac:dyDescent="0.3">
      <c r="B607" s="130" t="str">
        <f ca="1">IFERROR(__xludf.DUMMYFUNCTION("""COMPUTED_VALUE"""),"круг")</f>
        <v>круг</v>
      </c>
      <c r="C607" s="125" t="str">
        <f ca="1">IFERROR(__xludf.DUMMYFUNCTION("""COMPUTED_VALUE"""),"13Х11Н2В2МФ-Ш (эи961ш)")</f>
        <v>13Х11Н2В2МФ-Ш (эи961ш)</v>
      </c>
      <c r="D607" s="131">
        <f ca="1">IFERROR(__xludf.DUMMYFUNCTION("""COMPUTED_VALUE"""),90)</f>
        <v>90</v>
      </c>
      <c r="E607" s="131"/>
      <c r="F607" s="132" t="str">
        <f ca="1">IFERROR(__xludf.DUMMYFUNCTION("""COMPUTED_VALUE"""),"14-1-3297/2590  РТ, УЗК, об, отж.")</f>
        <v>14-1-3297/2590  РТ, УЗК, об, отж.</v>
      </c>
      <c r="G607" s="133">
        <f ca="1">IFERROR(__xludf.DUMMYFUNCTION("""COMPUTED_VALUE"""),1.383)</f>
        <v>1.383</v>
      </c>
      <c r="H607" s="133"/>
      <c r="I607" s="134">
        <f ca="1">IFERROR(__xludf.DUMMYFUNCTION("""COMPUTED_VALUE"""),1100000)</f>
        <v>1100000</v>
      </c>
    </row>
    <row r="608" spans="2:9" x14ac:dyDescent="0.3">
      <c r="B608" s="130" t="str">
        <f ca="1">IFERROR(__xludf.DUMMYFUNCTION("""COMPUTED_VALUE"""),"круг")</f>
        <v>круг</v>
      </c>
      <c r="C608" s="125" t="str">
        <f ca="1">IFERROR(__xludf.DUMMYFUNCTION("""COMPUTED_VALUE"""),"13Х11Н2В2МФ-Ш (эи961ш)")</f>
        <v>13Х11Н2В2МФ-Ш (эи961ш)</v>
      </c>
      <c r="D608" s="131">
        <f ca="1">IFERROR(__xludf.DUMMYFUNCTION("""COMPUTED_VALUE"""),90)</f>
        <v>90</v>
      </c>
      <c r="E608" s="131"/>
      <c r="F608" s="132" t="str">
        <f ca="1">IFERROR(__xludf.DUMMYFUNCTION("""COMPUTED_VALUE"""),"14-1-3297/2590  РТ, УЗК, об, отж.")</f>
        <v>14-1-3297/2590  РТ, УЗК, об, отж.</v>
      </c>
      <c r="G608" s="133">
        <f ca="1">IFERROR(__xludf.DUMMYFUNCTION("""COMPUTED_VALUE"""),1.431)</f>
        <v>1.431</v>
      </c>
      <c r="H608" s="133"/>
      <c r="I608" s="134">
        <f ca="1">IFERROR(__xludf.DUMMYFUNCTION("""COMPUTED_VALUE"""),1100000)</f>
        <v>1100000</v>
      </c>
    </row>
    <row r="609" spans="2:9" x14ac:dyDescent="0.3">
      <c r="B609" s="130" t="str">
        <f ca="1">IFERROR(__xludf.DUMMYFUNCTION("""COMPUTED_VALUE"""),"круг")</f>
        <v>круг</v>
      </c>
      <c r="C609" s="125" t="str">
        <f ca="1">IFERROR(__xludf.DUMMYFUNCTION("""COMPUTED_VALUE"""),"13Х11Н2В2МФ-Ш (эи961ш)")</f>
        <v>13Х11Н2В2МФ-Ш (эи961ш)</v>
      </c>
      <c r="D609" s="131">
        <f ca="1">IFERROR(__xludf.DUMMYFUNCTION("""COMPUTED_VALUE"""),95)</f>
        <v>95</v>
      </c>
      <c r="E609" s="131"/>
      <c r="F609" s="132" t="str">
        <f ca="1">IFERROR(__xludf.DUMMYFUNCTION("""COMPUTED_VALUE"""),"14-1-3297/2590  РТ, УЗК, об, отж.")</f>
        <v>14-1-3297/2590  РТ, УЗК, об, отж.</v>
      </c>
      <c r="G609" s="133">
        <f ca="1">IFERROR(__xludf.DUMMYFUNCTION("""COMPUTED_VALUE"""),2.6)</f>
        <v>2.6</v>
      </c>
      <c r="H609" s="133"/>
      <c r="I609" s="134">
        <f ca="1">IFERROR(__xludf.DUMMYFUNCTION("""COMPUTED_VALUE"""),1100000)</f>
        <v>1100000</v>
      </c>
    </row>
    <row r="610" spans="2:9" x14ac:dyDescent="0.3">
      <c r="B610" s="130" t="str">
        <f ca="1">IFERROR(__xludf.DUMMYFUNCTION("""COMPUTED_VALUE"""),"круг")</f>
        <v>круг</v>
      </c>
      <c r="C610" s="125" t="str">
        <f ca="1">IFERROR(__xludf.DUMMYFUNCTION("""COMPUTED_VALUE"""),"13Х11Н2В2МФ-Ш (эи961ш)")</f>
        <v>13Х11Н2В2МФ-Ш (эи961ш)</v>
      </c>
      <c r="D610" s="131">
        <f ca="1">IFERROR(__xludf.DUMMYFUNCTION("""COMPUTED_VALUE"""),100)</f>
        <v>100</v>
      </c>
      <c r="E610" s="131"/>
      <c r="F610" s="132" t="str">
        <f ca="1">IFERROR(__xludf.DUMMYFUNCTION("""COMPUTED_VALUE"""),"14-1-3297/2590")</f>
        <v>14-1-3297/2590</v>
      </c>
      <c r="G610" s="133">
        <f ca="1">IFERROR(__xludf.DUMMYFUNCTION("""COMPUTED_VALUE"""),0.580999999999999)</f>
        <v>0.58099999999999896</v>
      </c>
      <c r="H610" s="133"/>
      <c r="I610" s="134">
        <f ca="1">IFERROR(__xludf.DUMMYFUNCTION("""COMPUTED_VALUE"""),1100000)</f>
        <v>1100000</v>
      </c>
    </row>
    <row r="611" spans="2:9" x14ac:dyDescent="0.3">
      <c r="B611" s="130" t="str">
        <f ca="1">IFERROR(__xludf.DUMMYFUNCTION("""COMPUTED_VALUE"""),"круг")</f>
        <v>круг</v>
      </c>
      <c r="C611" s="125" t="str">
        <f ca="1">IFERROR(__xludf.DUMMYFUNCTION("""COMPUTED_VALUE"""),"13Х11Н2В2МФ-Ш (эи961ш)")</f>
        <v>13Х11Н2В2МФ-Ш (эи961ш)</v>
      </c>
      <c r="D611" s="131">
        <f ca="1">IFERROR(__xludf.DUMMYFUNCTION("""COMPUTED_VALUE"""),100)</f>
        <v>100</v>
      </c>
      <c r="E611" s="131"/>
      <c r="F611" s="132" t="str">
        <f ca="1">IFERROR(__xludf.DUMMYFUNCTION("""COMPUTED_VALUE"""),"14-1-3297/2590  РТ, УЗК, об, отж.")</f>
        <v>14-1-3297/2590  РТ, УЗК, об, отж.</v>
      </c>
      <c r="G611" s="133">
        <f ca="1">IFERROR(__xludf.DUMMYFUNCTION("""COMPUTED_VALUE"""),2.93)</f>
        <v>2.93</v>
      </c>
      <c r="H611" s="133"/>
      <c r="I611" s="134">
        <f ca="1">IFERROR(__xludf.DUMMYFUNCTION("""COMPUTED_VALUE"""),1100000)</f>
        <v>1100000</v>
      </c>
    </row>
    <row r="612" spans="2:9" x14ac:dyDescent="0.3">
      <c r="B612" s="130" t="str">
        <f ca="1">IFERROR(__xludf.DUMMYFUNCTION("""COMPUTED_VALUE"""),"круг")</f>
        <v>круг</v>
      </c>
      <c r="C612" s="125" t="str">
        <f ca="1">IFERROR(__xludf.DUMMYFUNCTION("""COMPUTED_VALUE"""),"13Х11Н2В2МФ-Ш (эи961ш)")</f>
        <v>13Х11Н2В2МФ-Ш (эи961ш)</v>
      </c>
      <c r="D612" s="131">
        <f ca="1">IFERROR(__xludf.DUMMYFUNCTION("""COMPUTED_VALUE"""),110)</f>
        <v>110</v>
      </c>
      <c r="E612" s="131"/>
      <c r="F612" s="132" t="str">
        <f ca="1">IFERROR(__xludf.DUMMYFUNCTION("""COMPUTED_VALUE"""),"14-1-3297/2590 БЕЗ РТ пл 521735")</f>
        <v>14-1-3297/2590 БЕЗ РТ пл 521735</v>
      </c>
      <c r="G612" s="133">
        <f ca="1">IFERROR(__xludf.DUMMYFUNCTION("""COMPUTED_VALUE"""),1.093)</f>
        <v>1.093</v>
      </c>
      <c r="H612" s="133"/>
      <c r="I612" s="134">
        <f ca="1">IFERROR(__xludf.DUMMYFUNCTION("""COMPUTED_VALUE"""),850000)</f>
        <v>850000</v>
      </c>
    </row>
    <row r="613" spans="2:9" x14ac:dyDescent="0.3">
      <c r="B613" s="130" t="str">
        <f ca="1">IFERROR(__xludf.DUMMYFUNCTION("""COMPUTED_VALUE"""),"круг")</f>
        <v>круг</v>
      </c>
      <c r="C613" s="125" t="str">
        <f ca="1">IFERROR(__xludf.DUMMYFUNCTION("""COMPUTED_VALUE"""),"13Х11Н2В2МФ-Ш (эи961ш)")</f>
        <v>13Х11Н2В2МФ-Ш (эи961ш)</v>
      </c>
      <c r="D613" s="131">
        <f ca="1">IFERROR(__xludf.DUMMYFUNCTION("""COMPUTED_VALUE"""),110)</f>
        <v>110</v>
      </c>
      <c r="E613" s="131"/>
      <c r="F613" s="132" t="str">
        <f ca="1">IFERROR(__xludf.DUMMYFUNCTION("""COMPUTED_VALUE"""),"14-1-3297/2590  РТ, УЗК, об, отж.")</f>
        <v>14-1-3297/2590  РТ, УЗК, об, отж.</v>
      </c>
      <c r="G613" s="133">
        <f ca="1">IFERROR(__xludf.DUMMYFUNCTION("""COMPUTED_VALUE"""),1.673)</f>
        <v>1.673</v>
      </c>
      <c r="H613" s="133"/>
      <c r="I613" s="134">
        <f ca="1">IFERROR(__xludf.DUMMYFUNCTION("""COMPUTED_VALUE"""),1100000)</f>
        <v>1100000</v>
      </c>
    </row>
    <row r="614" spans="2:9" x14ac:dyDescent="0.3">
      <c r="B614" s="130" t="str">
        <f ca="1">IFERROR(__xludf.DUMMYFUNCTION("""COMPUTED_VALUE"""),"круг")</f>
        <v>круг</v>
      </c>
      <c r="C614" s="125" t="str">
        <f ca="1">IFERROR(__xludf.DUMMYFUNCTION("""COMPUTED_VALUE"""),"13Х11Н2В2МФ-Ш (эи961ш)")</f>
        <v>13Х11Н2В2МФ-Ш (эи961ш)</v>
      </c>
      <c r="D614" s="131">
        <f ca="1">IFERROR(__xludf.DUMMYFUNCTION("""COMPUTED_VALUE"""),120)</f>
        <v>120</v>
      </c>
      <c r="E614" s="131"/>
      <c r="F614" s="132" t="str">
        <f ca="1">IFERROR(__xludf.DUMMYFUNCTION("""COMPUTED_VALUE"""),"14-1-3297/2590 БЕЗ РТ пл 521734")</f>
        <v>14-1-3297/2590 БЕЗ РТ пл 521734</v>
      </c>
      <c r="G614" s="133">
        <f ca="1">IFERROR(__xludf.DUMMYFUNCTION("""COMPUTED_VALUE"""),1.583)</f>
        <v>1.583</v>
      </c>
      <c r="H614" s="133"/>
      <c r="I614" s="134">
        <f ca="1">IFERROR(__xludf.DUMMYFUNCTION("""COMPUTED_VALUE"""),850000)</f>
        <v>850000</v>
      </c>
    </row>
    <row r="615" spans="2:9" x14ac:dyDescent="0.3">
      <c r="B615" s="130" t="str">
        <f ca="1">IFERROR(__xludf.DUMMYFUNCTION("""COMPUTED_VALUE"""),"круг")</f>
        <v>круг</v>
      </c>
      <c r="C615" s="125" t="str">
        <f ca="1">IFERROR(__xludf.DUMMYFUNCTION("""COMPUTED_VALUE"""),"13Х11Н2В2МФ-Ш (эи961ш)")</f>
        <v>13Х11Н2В2МФ-Ш (эи961ш)</v>
      </c>
      <c r="D615" s="131">
        <f ca="1">IFERROR(__xludf.DUMMYFUNCTION("""COMPUTED_VALUE"""),120)</f>
        <v>120</v>
      </c>
      <c r="E615" s="131"/>
      <c r="F615" s="132" t="str">
        <f ca="1">IFERROR(__xludf.DUMMYFUNCTION("""COMPUTED_VALUE"""),"14-1-3297/2590  РТ, УЗК, об, отж.")</f>
        <v>14-1-3297/2590  РТ, УЗК, об, отж.</v>
      </c>
      <c r="G615" s="133">
        <f ca="1">IFERROR(__xludf.DUMMYFUNCTION("""COMPUTED_VALUE"""),2.093)</f>
        <v>2.093</v>
      </c>
      <c r="H615" s="133"/>
      <c r="I615" s="134">
        <f ca="1">IFERROR(__xludf.DUMMYFUNCTION("""COMPUTED_VALUE"""),1100000)</f>
        <v>1100000</v>
      </c>
    </row>
    <row r="616" spans="2:9" x14ac:dyDescent="0.3">
      <c r="B616" s="130" t="str">
        <f ca="1">IFERROR(__xludf.DUMMYFUNCTION("""COMPUTED_VALUE"""),"круг")</f>
        <v>круг</v>
      </c>
      <c r="C616" s="125" t="str">
        <f ca="1">IFERROR(__xludf.DUMMYFUNCTION("""COMPUTED_VALUE"""),"13Х11Н2В2МФ-Ш (эи961ш)")</f>
        <v>13Х11Н2В2МФ-Ш (эи961ш)</v>
      </c>
      <c r="D616" s="131">
        <f ca="1">IFERROR(__xludf.DUMMYFUNCTION("""COMPUTED_VALUE"""),130)</f>
        <v>130</v>
      </c>
      <c r="E616" s="131"/>
      <c r="F616" s="132" t="str">
        <f ca="1">IFERROR(__xludf.DUMMYFUNCTION("""COMPUTED_VALUE"""),"14-1-3297/2590 БЕЗ РТ пл 521738")</f>
        <v>14-1-3297/2590 БЕЗ РТ пл 521738</v>
      </c>
      <c r="G616" s="133">
        <f ca="1">IFERROR(__xludf.DUMMYFUNCTION("""COMPUTED_VALUE"""),0.523999999999999)</f>
        <v>0.52399999999999902</v>
      </c>
      <c r="H616" s="133"/>
      <c r="I616" s="134">
        <f ca="1">IFERROR(__xludf.DUMMYFUNCTION("""COMPUTED_VALUE"""),850000)</f>
        <v>850000</v>
      </c>
    </row>
    <row r="617" spans="2:9" x14ac:dyDescent="0.3">
      <c r="B617" s="130" t="str">
        <f ca="1">IFERROR(__xludf.DUMMYFUNCTION("""COMPUTED_VALUE"""),"круг")</f>
        <v>круг</v>
      </c>
      <c r="C617" s="125" t="str">
        <f ca="1">IFERROR(__xludf.DUMMYFUNCTION("""COMPUTED_VALUE"""),"13Х11Н2В2МФ-Ш (эи961ш)")</f>
        <v>13Х11Н2В2МФ-Ш (эи961ш)</v>
      </c>
      <c r="D617" s="131">
        <f ca="1">IFERROR(__xludf.DUMMYFUNCTION("""COMPUTED_VALUE"""),130)</f>
        <v>130</v>
      </c>
      <c r="E617" s="131"/>
      <c r="F617" s="132" t="str">
        <f ca="1">IFERROR(__xludf.DUMMYFUNCTION("""COMPUTED_VALUE"""),"14-1-3297/2590  РТ, УЗК, об, отж.")</f>
        <v>14-1-3297/2590  РТ, УЗК, об, отж.</v>
      </c>
      <c r="G617" s="133">
        <f ca="1">IFERROR(__xludf.DUMMYFUNCTION("""COMPUTED_VALUE"""),1.879)</f>
        <v>1.879</v>
      </c>
      <c r="H617" s="133"/>
      <c r="I617" s="134">
        <f ca="1">IFERROR(__xludf.DUMMYFUNCTION("""COMPUTED_VALUE"""),1100000)</f>
        <v>1100000</v>
      </c>
    </row>
    <row r="618" spans="2:9" x14ac:dyDescent="0.3">
      <c r="B618" s="130" t="str">
        <f ca="1">IFERROR(__xludf.DUMMYFUNCTION("""COMPUTED_VALUE"""),"круг")</f>
        <v>круг</v>
      </c>
      <c r="C618" s="125" t="str">
        <f ca="1">IFERROR(__xludf.DUMMYFUNCTION("""COMPUTED_VALUE"""),"13Х11Н2В2МФ-Ш (эи961ш)")</f>
        <v>13Х11Н2В2МФ-Ш (эи961ш)</v>
      </c>
      <c r="D618" s="131">
        <f ca="1">IFERROR(__xludf.DUMMYFUNCTION("""COMPUTED_VALUE"""),140)</f>
        <v>140</v>
      </c>
      <c r="E618" s="131"/>
      <c r="F618" s="132" t="str">
        <f ca="1">IFERROR(__xludf.DUMMYFUNCTION("""COMPUTED_VALUE"""),"14-1-3297/2590  РТ, УЗК")</f>
        <v>14-1-3297/2590  РТ, УЗК</v>
      </c>
      <c r="G618" s="133">
        <f ca="1">IFERROR(__xludf.DUMMYFUNCTION("""COMPUTED_VALUE"""),0.804)</f>
        <v>0.80400000000000005</v>
      </c>
      <c r="H618" s="133"/>
      <c r="I618" s="134">
        <f ca="1">IFERROR(__xludf.DUMMYFUNCTION("""COMPUTED_VALUE"""),1100000)</f>
        <v>1100000</v>
      </c>
    </row>
    <row r="619" spans="2:9" x14ac:dyDescent="0.3">
      <c r="B619" s="130" t="str">
        <f ca="1">IFERROR(__xludf.DUMMYFUNCTION("""COMPUTED_VALUE"""),"круг")</f>
        <v>круг</v>
      </c>
      <c r="C619" s="125" t="str">
        <f ca="1">IFERROR(__xludf.DUMMYFUNCTION("""COMPUTED_VALUE"""),"13Х11Н2В2МФ-Ш (эи961ш)")</f>
        <v>13Х11Н2В2МФ-Ш (эи961ш)</v>
      </c>
      <c r="D619" s="131">
        <f ca="1">IFERROR(__xludf.DUMMYFUNCTION("""COMPUTED_VALUE"""),150)</f>
        <v>150</v>
      </c>
      <c r="E619" s="131"/>
      <c r="F619" s="132" t="str">
        <f ca="1">IFERROR(__xludf.DUMMYFUNCTION("""COMPUTED_VALUE"""),"14-1-3297/2590")</f>
        <v>14-1-3297/2590</v>
      </c>
      <c r="G619" s="133">
        <f ca="1">IFERROR(__xludf.DUMMYFUNCTION("""COMPUTED_VALUE"""),1.996)</f>
        <v>1.996</v>
      </c>
      <c r="H619" s="133"/>
      <c r="I619" s="134">
        <f ca="1">IFERROR(__xludf.DUMMYFUNCTION("""COMPUTED_VALUE"""),1100000)</f>
        <v>1100000</v>
      </c>
    </row>
    <row r="620" spans="2:9" x14ac:dyDescent="0.3">
      <c r="B620" s="130" t="str">
        <f ca="1">IFERROR(__xludf.DUMMYFUNCTION("""COMPUTED_VALUE"""),"круг")</f>
        <v>круг</v>
      </c>
      <c r="C620" s="125" t="str">
        <f ca="1">IFERROR(__xludf.DUMMYFUNCTION("""COMPUTED_VALUE"""),"13Х11Н2В2МФ-Ш (эи961ш)")</f>
        <v>13Х11Н2В2МФ-Ш (эи961ш)</v>
      </c>
      <c r="D620" s="131">
        <f ca="1">IFERROR(__xludf.DUMMYFUNCTION("""COMPUTED_VALUE"""),160)</f>
        <v>160</v>
      </c>
      <c r="E620" s="131"/>
      <c r="F620" s="132" t="str">
        <f ca="1">IFERROR(__xludf.DUMMYFUNCTION("""COMPUTED_VALUE"""),"14-1-3297/2590, РТТ")</f>
        <v>14-1-3297/2590, РТТ</v>
      </c>
      <c r="G620" s="133">
        <f ca="1">IFERROR(__xludf.DUMMYFUNCTION("""COMPUTED_VALUE"""),2.477)</f>
        <v>2.4769999999999999</v>
      </c>
      <c r="H620" s="133"/>
      <c r="I620" s="134">
        <f ca="1">IFERROR(__xludf.DUMMYFUNCTION("""COMPUTED_VALUE"""),1100000)</f>
        <v>1100000</v>
      </c>
    </row>
    <row r="621" spans="2:9" x14ac:dyDescent="0.3">
      <c r="B621" s="130" t="str">
        <f ca="1">IFERROR(__xludf.DUMMYFUNCTION("""COMPUTED_VALUE"""),"круг")</f>
        <v>круг</v>
      </c>
      <c r="C621" s="125" t="str">
        <f ca="1">IFERROR(__xludf.DUMMYFUNCTION("""COMPUTED_VALUE"""),"13Х11Н2В2МФ-Ш (эи961ш)")</f>
        <v>13Х11Н2В2МФ-Ш (эи961ш)</v>
      </c>
      <c r="D621" s="131">
        <f ca="1">IFERROR(__xludf.DUMMYFUNCTION("""COMPUTED_VALUE"""),170)</f>
        <v>170</v>
      </c>
      <c r="E621" s="131"/>
      <c r="F621" s="132" t="str">
        <f ca="1">IFERROR(__xludf.DUMMYFUNCTION("""COMPUTED_VALUE"""),"14-1-3297/2590  РТ, УЗК")</f>
        <v>14-1-3297/2590  РТ, УЗК</v>
      </c>
      <c r="G621" s="133">
        <f ca="1">IFERROR(__xludf.DUMMYFUNCTION("""COMPUTED_VALUE"""),1.01399999999999)</f>
        <v>1.01399999999999</v>
      </c>
      <c r="H621" s="133"/>
      <c r="I621" s="134">
        <f ca="1">IFERROR(__xludf.DUMMYFUNCTION("""COMPUTED_VALUE"""),1100000)</f>
        <v>1100000</v>
      </c>
    </row>
    <row r="622" spans="2:9" x14ac:dyDescent="0.3">
      <c r="B622" s="130" t="str">
        <f ca="1">IFERROR(__xludf.DUMMYFUNCTION("""COMPUTED_VALUE"""),"круг")</f>
        <v>круг</v>
      </c>
      <c r="C622" s="125" t="str">
        <f ca="1">IFERROR(__xludf.DUMMYFUNCTION("""COMPUTED_VALUE"""),"13Х11Н2В2МФ-Ш (эи961ш)")</f>
        <v>13Х11Н2В2МФ-Ш (эи961ш)</v>
      </c>
      <c r="D622" s="131">
        <f ca="1">IFERROR(__xludf.DUMMYFUNCTION("""COMPUTED_VALUE"""),180)</f>
        <v>180</v>
      </c>
      <c r="E622" s="131"/>
      <c r="F622" s="132" t="str">
        <f ca="1">IFERROR(__xludf.DUMMYFUNCTION("""COMPUTED_VALUE"""),"14-1-3297/2590  РТ, УЗК, об, отж.")</f>
        <v>14-1-3297/2590  РТ, УЗК, об, отж.</v>
      </c>
      <c r="G622" s="133">
        <f ca="1">IFERROR(__xludf.DUMMYFUNCTION("""COMPUTED_VALUE"""),3.914)</f>
        <v>3.9140000000000001</v>
      </c>
      <c r="H622" s="133"/>
      <c r="I622" s="134">
        <f ca="1">IFERROR(__xludf.DUMMYFUNCTION("""COMPUTED_VALUE"""),1100000)</f>
        <v>1100000</v>
      </c>
    </row>
    <row r="623" spans="2:9" x14ac:dyDescent="0.3">
      <c r="B623" s="130" t="str">
        <f ca="1">IFERROR(__xludf.DUMMYFUNCTION("""COMPUTED_VALUE"""),"круг")</f>
        <v>круг</v>
      </c>
      <c r="C623" s="125" t="str">
        <f ca="1">IFERROR(__xludf.DUMMYFUNCTION("""COMPUTED_VALUE"""),"13Х11Н2В2МФ-Ш (эи961ш)")</f>
        <v>13Х11Н2В2МФ-Ш (эи961ш)</v>
      </c>
      <c r="D623" s="131">
        <f ca="1">IFERROR(__xludf.DUMMYFUNCTION("""COMPUTED_VALUE"""),200)</f>
        <v>200</v>
      </c>
      <c r="E623" s="131"/>
      <c r="F623" s="132" t="str">
        <f ca="1">IFERROR(__xludf.DUMMYFUNCTION("""COMPUTED_VALUE"""),"14-1-3297/2590  РТ, УЗК")</f>
        <v>14-1-3297/2590  РТ, УЗК</v>
      </c>
      <c r="G623" s="133">
        <f ca="1">IFERROR(__xludf.DUMMYFUNCTION("""COMPUTED_VALUE"""),1.41699999999999)</f>
        <v>1.41699999999999</v>
      </c>
      <c r="H623" s="133"/>
      <c r="I623" s="134">
        <f ca="1">IFERROR(__xludf.DUMMYFUNCTION("""COMPUTED_VALUE"""),1100000)</f>
        <v>1100000</v>
      </c>
    </row>
    <row r="624" spans="2:9" x14ac:dyDescent="0.3">
      <c r="B624" s="130" t="str">
        <f ca="1">IFERROR(__xludf.DUMMYFUNCTION("""COMPUTED_VALUE"""),"Круг ")</f>
        <v xml:space="preserve">Круг </v>
      </c>
      <c r="C624" s="125" t="str">
        <f ca="1">IFERROR(__xludf.DUMMYFUNCTION("""COMPUTED_VALUE"""),"а25Х13Н2п       ЭИ474")</f>
        <v>а25Х13Н2п       ЭИ474</v>
      </c>
      <c r="D624" s="131">
        <f ca="1">IFERROR(__xludf.DUMMYFUNCTION("""COMPUTED_VALUE"""),10)</f>
        <v>10</v>
      </c>
      <c r="E624" s="131"/>
      <c r="F624" s="132" t="str">
        <f ca="1">IFERROR(__xludf.DUMMYFUNCTION("""COMPUTED_VALUE"""),"ту 14-1-721-73, отж, АТП")</f>
        <v>ту 14-1-721-73, отж, АТП</v>
      </c>
      <c r="G624" s="133">
        <f ca="1">IFERROR(__xludf.DUMMYFUNCTION("""COMPUTED_VALUE"""),0.223)</f>
        <v>0.223</v>
      </c>
      <c r="H624" s="133"/>
      <c r="I624" s="134">
        <f ca="1">IFERROR(__xludf.DUMMYFUNCTION("""COMPUTED_VALUE"""),1050000)</f>
        <v>1050000</v>
      </c>
    </row>
    <row r="625" spans="2:9" x14ac:dyDescent="0.3">
      <c r="B625" s="130" t="str">
        <f ca="1">IFERROR(__xludf.DUMMYFUNCTION("""COMPUTED_VALUE"""),"Круг ")</f>
        <v xml:space="preserve">Круг </v>
      </c>
      <c r="C625" s="125" t="str">
        <f ca="1">IFERROR(__xludf.DUMMYFUNCTION("""COMPUTED_VALUE"""),"а25Х13Н2п       ЭИ474")</f>
        <v>а25Х13Н2п       ЭИ474</v>
      </c>
      <c r="D625" s="131">
        <f ca="1">IFERROR(__xludf.DUMMYFUNCTION("""COMPUTED_VALUE"""),15)</f>
        <v>15</v>
      </c>
      <c r="E625" s="131"/>
      <c r="F625" s="132" t="str">
        <f ca="1">IFERROR(__xludf.DUMMYFUNCTION("""COMPUTED_VALUE"""),"ту 14-1-721-73, отж, АТП")</f>
        <v>ту 14-1-721-73, отж, АТП</v>
      </c>
      <c r="G625" s="133">
        <f ca="1">IFERROR(__xludf.DUMMYFUNCTION("""COMPUTED_VALUE"""),0.096)</f>
        <v>9.6000000000000002E-2</v>
      </c>
      <c r="H625" s="133"/>
      <c r="I625" s="134">
        <f ca="1">IFERROR(__xludf.DUMMYFUNCTION("""COMPUTED_VALUE"""),1000000)</f>
        <v>1000000</v>
      </c>
    </row>
    <row r="626" spans="2:9" x14ac:dyDescent="0.3">
      <c r="B626" s="130" t="str">
        <f ca="1">IFERROR(__xludf.DUMMYFUNCTION("""COMPUTED_VALUE"""),"Круг ")</f>
        <v xml:space="preserve">Круг </v>
      </c>
      <c r="C626" s="125" t="str">
        <f ca="1">IFERROR(__xludf.DUMMYFUNCTION("""COMPUTED_VALUE"""),"а25Х13Н2п       ЭИ474")</f>
        <v>а25Х13Н2п       ЭИ474</v>
      </c>
      <c r="D626" s="131">
        <f ca="1">IFERROR(__xludf.DUMMYFUNCTION("""COMPUTED_VALUE"""),15)</f>
        <v>15</v>
      </c>
      <c r="E626" s="131"/>
      <c r="F626" s="132" t="str">
        <f ca="1">IFERROR(__xludf.DUMMYFUNCTION("""COMPUTED_VALUE"""),"ту 14-1-721-73, отж, АТП")</f>
        <v>ту 14-1-721-73, отж, АТП</v>
      </c>
      <c r="G626" s="133">
        <f ca="1">IFERROR(__xludf.DUMMYFUNCTION("""COMPUTED_VALUE"""),0.288)</f>
        <v>0.28799999999999998</v>
      </c>
      <c r="H626" s="133"/>
      <c r="I626" s="134">
        <f ca="1">IFERROR(__xludf.DUMMYFUNCTION("""COMPUTED_VALUE"""),1000000)</f>
        <v>1000000</v>
      </c>
    </row>
    <row r="627" spans="2:9" x14ac:dyDescent="0.3">
      <c r="B627" s="130" t="str">
        <f ca="1">IFERROR(__xludf.DUMMYFUNCTION("""COMPUTED_VALUE"""),"Круг ")</f>
        <v xml:space="preserve">Круг </v>
      </c>
      <c r="C627" s="125" t="str">
        <f ca="1">IFERROR(__xludf.DUMMYFUNCTION("""COMPUTED_VALUE"""),"а25Х13Н2п       ЭИ474")</f>
        <v>а25Х13Н2п       ЭИ474</v>
      </c>
      <c r="D627" s="131">
        <f ca="1">IFERROR(__xludf.DUMMYFUNCTION("""COMPUTED_VALUE"""),20)</f>
        <v>20</v>
      </c>
      <c r="E627" s="131"/>
      <c r="F627" s="132" t="str">
        <f ca="1">IFERROR(__xludf.DUMMYFUNCTION("""COMPUTED_VALUE"""),"ту 14-1-721-73, отж, АТП")</f>
        <v>ту 14-1-721-73, отж, АТП</v>
      </c>
      <c r="G627" s="133">
        <f ca="1">IFERROR(__xludf.DUMMYFUNCTION("""COMPUTED_VALUE"""),0.151999999999999)</f>
        <v>0.151999999999999</v>
      </c>
      <c r="H627" s="133"/>
      <c r="I627" s="134">
        <f ca="1">IFERROR(__xludf.DUMMYFUNCTION("""COMPUTED_VALUE"""),1000000)</f>
        <v>1000000</v>
      </c>
    </row>
    <row r="628" spans="2:9" x14ac:dyDescent="0.3">
      <c r="B628" s="130" t="str">
        <f ca="1">IFERROR(__xludf.DUMMYFUNCTION("""COMPUTED_VALUE"""),"Круг ")</f>
        <v xml:space="preserve">Круг </v>
      </c>
      <c r="C628" s="125" t="str">
        <f ca="1">IFERROR(__xludf.DUMMYFUNCTION("""COMPUTED_VALUE"""),"а25Х13Н2п       ЭИ474")</f>
        <v>а25Х13Н2п       ЭИ474</v>
      </c>
      <c r="D628" s="131">
        <f ca="1">IFERROR(__xludf.DUMMYFUNCTION("""COMPUTED_VALUE"""),20)</f>
        <v>20</v>
      </c>
      <c r="E628" s="131"/>
      <c r="F628" s="132" t="str">
        <f ca="1">IFERROR(__xludf.DUMMYFUNCTION("""COMPUTED_VALUE"""),"ту 14-1-721-73, отж, АТП")</f>
        <v>ту 14-1-721-73, отж, АТП</v>
      </c>
      <c r="G628" s="133">
        <f ca="1">IFERROR(__xludf.DUMMYFUNCTION("""COMPUTED_VALUE"""),0.556)</f>
        <v>0.55600000000000005</v>
      </c>
      <c r="H628" s="133"/>
      <c r="I628" s="134">
        <f ca="1">IFERROR(__xludf.DUMMYFUNCTION("""COMPUTED_VALUE"""),1000000)</f>
        <v>1000000</v>
      </c>
    </row>
    <row r="629" spans="2:9" x14ac:dyDescent="0.3">
      <c r="B629" s="130" t="str">
        <f ca="1">IFERROR(__xludf.DUMMYFUNCTION("""COMPUTED_VALUE"""),"Круг ")</f>
        <v xml:space="preserve">Круг </v>
      </c>
      <c r="C629" s="125" t="str">
        <f ca="1">IFERROR(__xludf.DUMMYFUNCTION("""COMPUTED_VALUE"""),"а25Х13Н2п       ЭИ474")</f>
        <v>а25Х13Н2п       ЭИ474</v>
      </c>
      <c r="D629" s="131">
        <f ca="1">IFERROR(__xludf.DUMMYFUNCTION("""COMPUTED_VALUE"""),25)</f>
        <v>25</v>
      </c>
      <c r="E629" s="131"/>
      <c r="F629" s="132" t="str">
        <f ca="1">IFERROR(__xludf.DUMMYFUNCTION("""COMPUTED_VALUE"""),"ту 14-1-721-73, отж, АТП")</f>
        <v>ту 14-1-721-73, отж, АТП</v>
      </c>
      <c r="G629" s="133">
        <f ca="1">IFERROR(__xludf.DUMMYFUNCTION("""COMPUTED_VALUE"""),0.088)</f>
        <v>8.7999999999999995E-2</v>
      </c>
      <c r="H629" s="133"/>
      <c r="I629" s="134">
        <f ca="1">IFERROR(__xludf.DUMMYFUNCTION("""COMPUTED_VALUE"""),1000000)</f>
        <v>1000000</v>
      </c>
    </row>
    <row r="630" spans="2:9" x14ac:dyDescent="0.3">
      <c r="B630" s="130" t="str">
        <f ca="1">IFERROR(__xludf.DUMMYFUNCTION("""COMPUTED_VALUE"""),"Круг ")</f>
        <v xml:space="preserve">Круг </v>
      </c>
      <c r="C630" s="125" t="str">
        <f ca="1">IFERROR(__xludf.DUMMYFUNCTION("""COMPUTED_VALUE"""),"а25Х13Н2п       ЭИ474")</f>
        <v>а25Х13Н2п       ЭИ474</v>
      </c>
      <c r="D630" s="131">
        <f ca="1">IFERROR(__xludf.DUMMYFUNCTION("""COMPUTED_VALUE"""),30)</f>
        <v>30</v>
      </c>
      <c r="E630" s="131"/>
      <c r="F630" s="132" t="str">
        <f ca="1">IFERROR(__xludf.DUMMYFUNCTION("""COMPUTED_VALUE"""),"ту 14-1-721-73, отж, АТП")</f>
        <v>ту 14-1-721-73, отж, АТП</v>
      </c>
      <c r="G630" s="133">
        <f ca="1">IFERROR(__xludf.DUMMYFUNCTION("""COMPUTED_VALUE"""),0.827)</f>
        <v>0.82699999999999996</v>
      </c>
      <c r="H630" s="133"/>
      <c r="I630" s="134">
        <f ca="1">IFERROR(__xludf.DUMMYFUNCTION("""COMPUTED_VALUE"""),1000000)</f>
        <v>1000000</v>
      </c>
    </row>
    <row r="631" spans="2:9" x14ac:dyDescent="0.3">
      <c r="B631" s="130" t="str">
        <f ca="1">IFERROR(__xludf.DUMMYFUNCTION("""COMPUTED_VALUE"""),"Круг ")</f>
        <v xml:space="preserve">Круг </v>
      </c>
      <c r="C631" s="125" t="str">
        <f ca="1">IFERROR(__xludf.DUMMYFUNCTION("""COMPUTED_VALUE"""),"а25Х13Н2п       ЭИ476")</f>
        <v>а25Х13Н2п       ЭИ476</v>
      </c>
      <c r="D631" s="131">
        <f ca="1">IFERROR(__xludf.DUMMYFUNCTION("""COMPUTED_VALUE"""),35)</f>
        <v>35</v>
      </c>
      <c r="E631" s="131"/>
      <c r="F631" s="132" t="str">
        <f ca="1">IFERROR(__xludf.DUMMYFUNCTION("""COMPUTED_VALUE"""),"ту 14-1-721-73, отж, АТП")</f>
        <v>ту 14-1-721-73, отж, АТП</v>
      </c>
      <c r="G631" s="133">
        <f ca="1">IFERROR(__xludf.DUMMYFUNCTION("""COMPUTED_VALUE"""),0.409)</f>
        <v>0.40899999999999997</v>
      </c>
      <c r="H631" s="133"/>
      <c r="I631" s="134">
        <f ca="1">IFERROR(__xludf.DUMMYFUNCTION("""COMPUTED_VALUE"""),1000000)</f>
        <v>1000000</v>
      </c>
    </row>
    <row r="632" spans="2:9" x14ac:dyDescent="0.3">
      <c r="B632" s="130" t="str">
        <f ca="1">IFERROR(__xludf.DUMMYFUNCTION("""COMPUTED_VALUE"""),"Круг ")</f>
        <v xml:space="preserve">Круг </v>
      </c>
      <c r="C632" s="125" t="str">
        <f ca="1">IFERROR(__xludf.DUMMYFUNCTION("""COMPUTED_VALUE"""),"а25Х13Н2п       ЭИ475")</f>
        <v>а25Х13Н2п       ЭИ475</v>
      </c>
      <c r="D632" s="131">
        <f ca="1">IFERROR(__xludf.DUMMYFUNCTION("""COMPUTED_VALUE"""),35)</f>
        <v>35</v>
      </c>
      <c r="E632" s="131"/>
      <c r="F632" s="132" t="str">
        <f ca="1">IFERROR(__xludf.DUMMYFUNCTION("""COMPUTED_VALUE"""),"ту 14-1-721-73, отж, АТП")</f>
        <v>ту 14-1-721-73, отж, АТП</v>
      </c>
      <c r="G632" s="133">
        <f ca="1">IFERROR(__xludf.DUMMYFUNCTION("""COMPUTED_VALUE"""),0.666)</f>
        <v>0.66600000000000004</v>
      </c>
      <c r="H632" s="133"/>
      <c r="I632" s="134">
        <f ca="1">IFERROR(__xludf.DUMMYFUNCTION("""COMPUTED_VALUE"""),1000000)</f>
        <v>1000000</v>
      </c>
    </row>
    <row r="633" spans="2:9" x14ac:dyDescent="0.3">
      <c r="B633" s="130" t="str">
        <f ca="1">IFERROR(__xludf.DUMMYFUNCTION("""COMPUTED_VALUE"""),"Круг ")</f>
        <v xml:space="preserve">Круг </v>
      </c>
      <c r="C633" s="125" t="str">
        <f ca="1">IFERROR(__xludf.DUMMYFUNCTION("""COMPUTED_VALUE"""),"а25Х13Н2п       ЭИ474")</f>
        <v>а25Х13Н2п       ЭИ474</v>
      </c>
      <c r="D633" s="131">
        <f ca="1">IFERROR(__xludf.DUMMYFUNCTION("""COMPUTED_VALUE"""),45)</f>
        <v>45</v>
      </c>
      <c r="E633" s="131"/>
      <c r="F633" s="132" t="str">
        <f ca="1">IFERROR(__xludf.DUMMYFUNCTION("""COMPUTED_VALUE"""),"ту 14-1-721-73, отж, АТП")</f>
        <v>ту 14-1-721-73, отж, АТП</v>
      </c>
      <c r="G633" s="133">
        <f ca="1">IFERROR(__xludf.DUMMYFUNCTION("""COMPUTED_VALUE"""),0.242)</f>
        <v>0.24199999999999999</v>
      </c>
      <c r="H633" s="133"/>
      <c r="I633" s="134">
        <f ca="1">IFERROR(__xludf.DUMMYFUNCTION("""COMPUTED_VALUE"""),1000000)</f>
        <v>1000000</v>
      </c>
    </row>
    <row r="634" spans="2:9" x14ac:dyDescent="0.3">
      <c r="B634" s="130" t="str">
        <f ca="1">IFERROR(__xludf.DUMMYFUNCTION("""COMPUTED_VALUE"""),"Круг ")</f>
        <v xml:space="preserve">Круг </v>
      </c>
      <c r="C634" s="125" t="str">
        <f ca="1">IFERROR(__xludf.DUMMYFUNCTION("""COMPUTED_VALUE"""),"а25Х13Н2п       ЭИ474")</f>
        <v>а25Х13Н2п       ЭИ474</v>
      </c>
      <c r="D634" s="131">
        <f ca="1">IFERROR(__xludf.DUMMYFUNCTION("""COMPUTED_VALUE"""),45)</f>
        <v>45</v>
      </c>
      <c r="E634" s="131"/>
      <c r="F634" s="132" t="str">
        <f ca="1">IFERROR(__xludf.DUMMYFUNCTION("""COMPUTED_VALUE"""),"ту 14-1-721-73, отж, АТП")</f>
        <v>ту 14-1-721-73, отж, АТП</v>
      </c>
      <c r="G634" s="133">
        <f ca="1">IFERROR(__xludf.DUMMYFUNCTION("""COMPUTED_VALUE"""),0.151999999999999)</f>
        <v>0.151999999999999</v>
      </c>
      <c r="H634" s="133"/>
      <c r="I634" s="134">
        <f ca="1">IFERROR(__xludf.DUMMYFUNCTION("""COMPUTED_VALUE"""),1000000)</f>
        <v>1000000</v>
      </c>
    </row>
    <row r="635" spans="2:9" x14ac:dyDescent="0.3">
      <c r="B635" s="130" t="str">
        <f ca="1">IFERROR(__xludf.DUMMYFUNCTION("""COMPUTED_VALUE"""),"Круг ")</f>
        <v xml:space="preserve">Круг </v>
      </c>
      <c r="C635" s="125" t="str">
        <f ca="1">IFERROR(__xludf.DUMMYFUNCTION("""COMPUTED_VALUE"""),"а25Х13Н2п       ЭИ474")</f>
        <v>а25Х13Н2п       ЭИ474</v>
      </c>
      <c r="D635" s="131">
        <f ca="1">IFERROR(__xludf.DUMMYFUNCTION("""COMPUTED_VALUE"""),50)</f>
        <v>50</v>
      </c>
      <c r="E635" s="131"/>
      <c r="F635" s="132" t="str">
        <f ca="1">IFERROR(__xludf.DUMMYFUNCTION("""COMPUTED_VALUE"""),"ту 14-1-721-73, отж, АТП")</f>
        <v>ту 14-1-721-73, отж, АТП</v>
      </c>
      <c r="G635" s="133">
        <f ca="1">IFERROR(__xludf.DUMMYFUNCTION("""COMPUTED_VALUE"""),0.876999999999999)</f>
        <v>0.876999999999999</v>
      </c>
      <c r="H635" s="133"/>
      <c r="I635" s="134">
        <f ca="1">IFERROR(__xludf.DUMMYFUNCTION("""COMPUTED_VALUE"""),1000000)</f>
        <v>1000000</v>
      </c>
    </row>
    <row r="636" spans="2:9" x14ac:dyDescent="0.3">
      <c r="B636" s="130" t="str">
        <f ca="1">IFERROR(__xludf.DUMMYFUNCTION("""COMPUTED_VALUE"""),"Круг ")</f>
        <v xml:space="preserve">Круг </v>
      </c>
      <c r="C636" s="125" t="str">
        <f ca="1">IFERROR(__xludf.DUMMYFUNCTION("""COMPUTED_VALUE"""),"а25Х13Н2п       ЭИ474")</f>
        <v>а25Х13Н2п       ЭИ474</v>
      </c>
      <c r="D636" s="131">
        <f ca="1">IFERROR(__xludf.DUMMYFUNCTION("""COMPUTED_VALUE"""),56)</f>
        <v>56</v>
      </c>
      <c r="E636" s="131"/>
      <c r="F636" s="132" t="str">
        <f ca="1">IFERROR(__xludf.DUMMYFUNCTION("""COMPUTED_VALUE"""),"ту 14-1-721-73, отж, АТП")</f>
        <v>ту 14-1-721-73, отж, АТП</v>
      </c>
      <c r="G636" s="133">
        <f ca="1">IFERROR(__xludf.DUMMYFUNCTION("""COMPUTED_VALUE"""),0.173)</f>
        <v>0.17299999999999999</v>
      </c>
      <c r="H636" s="133"/>
      <c r="I636" s="134">
        <f ca="1">IFERROR(__xludf.DUMMYFUNCTION("""COMPUTED_VALUE"""),1000000)</f>
        <v>1000000</v>
      </c>
    </row>
    <row r="637" spans="2:9" x14ac:dyDescent="0.3">
      <c r="B637" s="130" t="str">
        <f ca="1">IFERROR(__xludf.DUMMYFUNCTION("""COMPUTED_VALUE"""),"Круг ")</f>
        <v xml:space="preserve">Круг </v>
      </c>
      <c r="C637" s="125" t="str">
        <f ca="1">IFERROR(__xludf.DUMMYFUNCTION("""COMPUTED_VALUE"""),"а25Х13Н2п       ЭИ474")</f>
        <v>а25Х13Н2п       ЭИ474</v>
      </c>
      <c r="D637" s="131">
        <f ca="1">IFERROR(__xludf.DUMMYFUNCTION("""COMPUTED_VALUE"""),56)</f>
        <v>56</v>
      </c>
      <c r="E637" s="131"/>
      <c r="F637" s="132" t="str">
        <f ca="1">IFERROR(__xludf.DUMMYFUNCTION("""COMPUTED_VALUE"""),"ту 14-1-721-73, отж, АТП")</f>
        <v>ту 14-1-721-73, отж, АТП</v>
      </c>
      <c r="G637" s="133">
        <f ca="1">IFERROR(__xludf.DUMMYFUNCTION("""COMPUTED_VALUE"""),0.46)</f>
        <v>0.46</v>
      </c>
      <c r="H637" s="133"/>
      <c r="I637" s="134">
        <f ca="1">IFERROR(__xludf.DUMMYFUNCTION("""COMPUTED_VALUE"""),1000000)</f>
        <v>1000000</v>
      </c>
    </row>
    <row r="638" spans="2:9" x14ac:dyDescent="0.3">
      <c r="B638" s="130" t="str">
        <f ca="1">IFERROR(__xludf.DUMMYFUNCTION("""COMPUTED_VALUE"""),"Круг ")</f>
        <v xml:space="preserve">Круг </v>
      </c>
      <c r="C638" s="125" t="str">
        <f ca="1">IFERROR(__xludf.DUMMYFUNCTION("""COMPUTED_VALUE"""),"а25Х13Н2п       ЭИ474")</f>
        <v>а25Х13Н2п       ЭИ474</v>
      </c>
      <c r="D638" s="131">
        <f ca="1">IFERROR(__xludf.DUMMYFUNCTION("""COMPUTED_VALUE"""),60)</f>
        <v>60</v>
      </c>
      <c r="E638" s="131"/>
      <c r="F638" s="132" t="str">
        <f ca="1">IFERROR(__xludf.DUMMYFUNCTION("""COMPUTED_VALUE"""),"ту 14-1-721-73, отж, АТП")</f>
        <v>ту 14-1-721-73, отж, АТП</v>
      </c>
      <c r="G638" s="133">
        <f ca="1">IFERROR(__xludf.DUMMYFUNCTION("""COMPUTED_VALUE"""),0.35)</f>
        <v>0.35</v>
      </c>
      <c r="H638" s="133"/>
      <c r="I638" s="134">
        <f ca="1">IFERROR(__xludf.DUMMYFUNCTION("""COMPUTED_VALUE"""),1000000)</f>
        <v>1000000</v>
      </c>
    </row>
    <row r="639" spans="2:9" x14ac:dyDescent="0.3">
      <c r="B639" s="130" t="str">
        <f ca="1">IFERROR(__xludf.DUMMYFUNCTION("""COMPUTED_VALUE"""),"Круг ")</f>
        <v xml:space="preserve">Круг </v>
      </c>
      <c r="C639" s="125" t="str">
        <f ca="1">IFERROR(__xludf.DUMMYFUNCTION("""COMPUTED_VALUE"""),"а25Х13Н2п       ЭИ474")</f>
        <v>а25Х13Н2п       ЭИ474</v>
      </c>
      <c r="D639" s="131">
        <f ca="1">IFERROR(__xludf.DUMMYFUNCTION("""COMPUTED_VALUE"""),70)</f>
        <v>70</v>
      </c>
      <c r="E639" s="131"/>
      <c r="F639" s="132" t="str">
        <f ca="1">IFERROR(__xludf.DUMMYFUNCTION("""COMPUTED_VALUE"""),"ту 14-1-721-73, отж, АТП")</f>
        <v>ту 14-1-721-73, отж, АТП</v>
      </c>
      <c r="G639" s="133">
        <f ca="1">IFERROR(__xludf.DUMMYFUNCTION("""COMPUTED_VALUE"""),0.285)</f>
        <v>0.28499999999999998</v>
      </c>
      <c r="H639" s="133"/>
      <c r="I639" s="134">
        <f ca="1">IFERROR(__xludf.DUMMYFUNCTION("""COMPUTED_VALUE"""),1000000)</f>
        <v>1000000</v>
      </c>
    </row>
    <row r="640" spans="2:9" x14ac:dyDescent="0.3">
      <c r="B640" s="130" t="str">
        <f ca="1">IFERROR(__xludf.DUMMYFUNCTION("""COMPUTED_VALUE"""),"Круг ")</f>
        <v xml:space="preserve">Круг </v>
      </c>
      <c r="C640" s="125" t="str">
        <f ca="1">IFERROR(__xludf.DUMMYFUNCTION("""COMPUTED_VALUE"""),"а25Х13Н2п       ЭИ474")</f>
        <v>а25Х13Н2п       ЭИ474</v>
      </c>
      <c r="D640" s="131">
        <f ca="1">IFERROR(__xludf.DUMMYFUNCTION("""COMPUTED_VALUE"""),70)</f>
        <v>70</v>
      </c>
      <c r="E640" s="131"/>
      <c r="F640" s="132" t="str">
        <f ca="1">IFERROR(__xludf.DUMMYFUNCTION("""COMPUTED_VALUE"""),"ту 14-1-721-73, отж, АТП")</f>
        <v>ту 14-1-721-73, отж, АТП</v>
      </c>
      <c r="G640" s="133">
        <f ca="1">IFERROR(__xludf.DUMMYFUNCTION("""COMPUTED_VALUE"""),1.585)</f>
        <v>1.585</v>
      </c>
      <c r="H640" s="133"/>
      <c r="I640" s="134">
        <f ca="1">IFERROR(__xludf.DUMMYFUNCTION("""COMPUTED_VALUE"""),1000000)</f>
        <v>1000000</v>
      </c>
    </row>
    <row r="641" spans="2:9" x14ac:dyDescent="0.3">
      <c r="B641" s="130" t="str">
        <f ca="1">IFERROR(__xludf.DUMMYFUNCTION("""COMPUTED_VALUE"""),"Круг ")</f>
        <v xml:space="preserve">Круг </v>
      </c>
      <c r="C641" s="125" t="str">
        <f ca="1">IFERROR(__xludf.DUMMYFUNCTION("""COMPUTED_VALUE"""),"а25Х13Н2п       ЭИ474")</f>
        <v>а25Х13Н2п       ЭИ474</v>
      </c>
      <c r="D641" s="131">
        <f ca="1">IFERROR(__xludf.DUMMYFUNCTION("""COMPUTED_VALUE"""),80)</f>
        <v>80</v>
      </c>
      <c r="E641" s="131"/>
      <c r="F641" s="132" t="str">
        <f ca="1">IFERROR(__xludf.DUMMYFUNCTION("""COMPUTED_VALUE"""),"ту 14-1-721-73, отж, АТП")</f>
        <v>ту 14-1-721-73, отж, АТП</v>
      </c>
      <c r="G641" s="133">
        <f ca="1">IFERROR(__xludf.DUMMYFUNCTION("""COMPUTED_VALUE"""),0.57)</f>
        <v>0.56999999999999995</v>
      </c>
      <c r="H641" s="133"/>
      <c r="I641" s="134">
        <f ca="1">IFERROR(__xludf.DUMMYFUNCTION("""COMPUTED_VALUE"""),1100000)</f>
        <v>1100000</v>
      </c>
    </row>
    <row r="642" spans="2:9" x14ac:dyDescent="0.3">
      <c r="B642" s="130" t="str">
        <f ca="1">IFERROR(__xludf.DUMMYFUNCTION("""COMPUTED_VALUE"""),"Круг ")</f>
        <v xml:space="preserve">Круг </v>
      </c>
      <c r="C642" s="125" t="str">
        <f ca="1">IFERROR(__xludf.DUMMYFUNCTION("""COMPUTED_VALUE"""),"а25Х13Н2п       ЭИ474")</f>
        <v>а25Х13Н2п       ЭИ474</v>
      </c>
      <c r="D642" s="131">
        <f ca="1">IFERROR(__xludf.DUMMYFUNCTION("""COMPUTED_VALUE"""),80)</f>
        <v>80</v>
      </c>
      <c r="E642" s="131"/>
      <c r="F642" s="132" t="str">
        <f ca="1">IFERROR(__xludf.DUMMYFUNCTION("""COMPUTED_VALUE"""),"ту 14-1-721-73, отж, АТП")</f>
        <v>ту 14-1-721-73, отж, АТП</v>
      </c>
      <c r="G642" s="133">
        <f ca="1">IFERROR(__xludf.DUMMYFUNCTION("""COMPUTED_VALUE"""),0.175)</f>
        <v>0.17499999999999999</v>
      </c>
      <c r="H642" s="133"/>
      <c r="I642" s="134">
        <f ca="1">IFERROR(__xludf.DUMMYFUNCTION("""COMPUTED_VALUE"""),1100000)</f>
        <v>1100000</v>
      </c>
    </row>
    <row r="643" spans="2:9" x14ac:dyDescent="0.3">
      <c r="B643" s="130" t="str">
        <f ca="1">IFERROR(__xludf.DUMMYFUNCTION("""COMPUTED_VALUE"""),"Круг ")</f>
        <v xml:space="preserve">Круг </v>
      </c>
      <c r="C643" s="125" t="str">
        <f ca="1">IFERROR(__xludf.DUMMYFUNCTION("""COMPUTED_VALUE"""),"а25Х13Н2п       ЭИ474")</f>
        <v>а25Х13Н2п       ЭИ474</v>
      </c>
      <c r="D643" s="131">
        <f ca="1">IFERROR(__xludf.DUMMYFUNCTION("""COMPUTED_VALUE"""),90)</f>
        <v>90</v>
      </c>
      <c r="E643" s="131"/>
      <c r="F643" s="132" t="str">
        <f ca="1">IFERROR(__xludf.DUMMYFUNCTION("""COMPUTED_VALUE"""),"ту 14-1-721-73, отж, АТП ков")</f>
        <v>ту 14-1-721-73, отж, АТП ков</v>
      </c>
      <c r="G643" s="133">
        <f ca="1">IFERROR(__xludf.DUMMYFUNCTION("""COMPUTED_VALUE"""),0.08)</f>
        <v>0.08</v>
      </c>
      <c r="H643" s="133"/>
      <c r="I643" s="134">
        <f ca="1">IFERROR(__xludf.DUMMYFUNCTION("""COMPUTED_VALUE"""),1000000)</f>
        <v>1000000</v>
      </c>
    </row>
    <row r="644" spans="2:9" x14ac:dyDescent="0.3">
      <c r="B644" s="130" t="str">
        <f ca="1">IFERROR(__xludf.DUMMYFUNCTION("""COMPUTED_VALUE"""),"Круг ")</f>
        <v xml:space="preserve">Круг </v>
      </c>
      <c r="C644" s="125" t="str">
        <f ca="1">IFERROR(__xludf.DUMMYFUNCTION("""COMPUTED_VALUE"""),"а25Х13Н2п       ЭИ474")</f>
        <v>а25Х13Н2п       ЭИ474</v>
      </c>
      <c r="D644" s="131">
        <f ca="1">IFERROR(__xludf.DUMMYFUNCTION("""COMPUTED_VALUE"""),90)</f>
        <v>90</v>
      </c>
      <c r="E644" s="131"/>
      <c r="F644" s="132" t="str">
        <f ca="1">IFERROR(__xludf.DUMMYFUNCTION("""COMPUTED_VALUE"""),"ту 14-1-721-73, отж, АТП ков")</f>
        <v>ту 14-1-721-73, отж, АТП ков</v>
      </c>
      <c r="G644" s="133">
        <f ca="1">IFERROR(__xludf.DUMMYFUNCTION("""COMPUTED_VALUE"""),0.55)</f>
        <v>0.55000000000000004</v>
      </c>
      <c r="H644" s="133"/>
      <c r="I644" s="134">
        <f ca="1">IFERROR(__xludf.DUMMYFUNCTION("""COMPUTED_VALUE"""),1000000)</f>
        <v>1000000</v>
      </c>
    </row>
    <row r="645" spans="2:9" x14ac:dyDescent="0.3">
      <c r="B645" s="130" t="str">
        <f ca="1">IFERROR(__xludf.DUMMYFUNCTION("""COMPUTED_VALUE"""),"Круг ")</f>
        <v xml:space="preserve">Круг </v>
      </c>
      <c r="C645" s="125" t="str">
        <f ca="1">IFERROR(__xludf.DUMMYFUNCTION("""COMPUTED_VALUE"""),"а25Х13Н2п       ЭИ474")</f>
        <v>а25Х13Н2п       ЭИ474</v>
      </c>
      <c r="D645" s="131">
        <f ca="1">IFERROR(__xludf.DUMMYFUNCTION("""COMPUTED_VALUE"""),90)</f>
        <v>90</v>
      </c>
      <c r="E645" s="131"/>
      <c r="F645" s="132" t="str">
        <f ca="1">IFERROR(__xludf.DUMMYFUNCTION("""COMPUTED_VALUE"""),"ту 14-1-721-73, отж, АТП ков")</f>
        <v>ту 14-1-721-73, отж, АТП ков</v>
      </c>
      <c r="G645" s="133">
        <f ca="1">IFERROR(__xludf.DUMMYFUNCTION("""COMPUTED_VALUE"""),0.14)</f>
        <v>0.14000000000000001</v>
      </c>
      <c r="H645" s="133"/>
      <c r="I645" s="134">
        <f ca="1">IFERROR(__xludf.DUMMYFUNCTION("""COMPUTED_VALUE"""),1000000)</f>
        <v>1000000</v>
      </c>
    </row>
    <row r="646" spans="2:9" x14ac:dyDescent="0.3">
      <c r="B646" s="130" t="str">
        <f ca="1">IFERROR(__xludf.DUMMYFUNCTION("""COMPUTED_VALUE"""),"Круг ")</f>
        <v xml:space="preserve">Круг </v>
      </c>
      <c r="C646" s="125" t="str">
        <f ca="1">IFERROR(__xludf.DUMMYFUNCTION("""COMPUTED_VALUE"""),"а25Х13Н2п       ЭИ474")</f>
        <v>а25Х13Н2п       ЭИ474</v>
      </c>
      <c r="D646" s="131">
        <f ca="1">IFERROR(__xludf.DUMMYFUNCTION("""COMPUTED_VALUE"""),90)</f>
        <v>90</v>
      </c>
      <c r="E646" s="131"/>
      <c r="F646" s="132" t="str">
        <f ca="1">IFERROR(__xludf.DUMMYFUNCTION("""COMPUTED_VALUE"""),"ту 14-1-721-73, отж, АТП ков")</f>
        <v>ту 14-1-721-73, отж, АТП ков</v>
      </c>
      <c r="G646" s="133">
        <f ca="1">IFERROR(__xludf.DUMMYFUNCTION("""COMPUTED_VALUE"""),0.79)</f>
        <v>0.79</v>
      </c>
      <c r="H646" s="133"/>
      <c r="I646" s="134">
        <f ca="1">IFERROR(__xludf.DUMMYFUNCTION("""COMPUTED_VALUE"""),1000000)</f>
        <v>1000000</v>
      </c>
    </row>
    <row r="647" spans="2:9" x14ac:dyDescent="0.3">
      <c r="B647" s="130" t="str">
        <f ca="1">IFERROR(__xludf.DUMMYFUNCTION("""COMPUTED_VALUE"""),"Круг ")</f>
        <v xml:space="preserve">Круг </v>
      </c>
      <c r="C647" s="125" t="str">
        <f ca="1">IFERROR(__xludf.DUMMYFUNCTION("""COMPUTED_VALUE"""),"а25Х13Н2п       ЭИ474")</f>
        <v>а25Х13Н2п       ЭИ474</v>
      </c>
      <c r="D647" s="131">
        <f ca="1">IFERROR(__xludf.DUMMYFUNCTION("""COMPUTED_VALUE"""),100)</f>
        <v>100</v>
      </c>
      <c r="E647" s="131"/>
      <c r="F647" s="132" t="str">
        <f ca="1">IFERROR(__xludf.DUMMYFUNCTION("""COMPUTED_VALUE"""),"ту 14-1-721-73, отж, АТП")</f>
        <v>ту 14-1-721-73, отж, АТП</v>
      </c>
      <c r="G647" s="133">
        <f ca="1">IFERROR(__xludf.DUMMYFUNCTION("""COMPUTED_VALUE"""),0.072)</f>
        <v>7.1999999999999995E-2</v>
      </c>
      <c r="H647" s="133"/>
      <c r="I647" s="134">
        <f ca="1">IFERROR(__xludf.DUMMYFUNCTION("""COMPUTED_VALUE"""),1000000)</f>
        <v>1000000</v>
      </c>
    </row>
    <row r="648" spans="2:9" x14ac:dyDescent="0.3">
      <c r="B648" s="130" t="str">
        <f ca="1">IFERROR(__xludf.DUMMYFUNCTION("""COMPUTED_VALUE"""),"Круг ")</f>
        <v xml:space="preserve">Круг </v>
      </c>
      <c r="C648" s="125" t="str">
        <f ca="1">IFERROR(__xludf.DUMMYFUNCTION("""COMPUTED_VALUE"""),"а25Х13Н2п       ЭИ474")</f>
        <v>а25Х13Н2п       ЭИ474</v>
      </c>
      <c r="D648" s="131">
        <f ca="1">IFERROR(__xludf.DUMMYFUNCTION("""COMPUTED_VALUE"""),110)</f>
        <v>110</v>
      </c>
      <c r="E648" s="131"/>
      <c r="F648" s="132" t="str">
        <f ca="1">IFERROR(__xludf.DUMMYFUNCTION("""COMPUTED_VALUE"""),"ту 14-1-721-73, отж, АТП")</f>
        <v>ту 14-1-721-73, отж, АТП</v>
      </c>
      <c r="G648" s="133">
        <f ca="1">IFERROR(__xludf.DUMMYFUNCTION("""COMPUTED_VALUE"""),0.496)</f>
        <v>0.496</v>
      </c>
      <c r="H648" s="133"/>
      <c r="I648" s="134">
        <f ca="1">IFERROR(__xludf.DUMMYFUNCTION("""COMPUTED_VALUE"""),1000000)</f>
        <v>1000000</v>
      </c>
    </row>
    <row r="649" spans="2:9" x14ac:dyDescent="0.3">
      <c r="B649" s="130" t="str">
        <f ca="1">IFERROR(__xludf.DUMMYFUNCTION("""COMPUTED_VALUE"""),"Круг ")</f>
        <v xml:space="preserve">Круг </v>
      </c>
      <c r="C649" s="125" t="str">
        <f ca="1">IFERROR(__xludf.DUMMYFUNCTION("""COMPUTED_VALUE"""),"а25Х13Н2п       ЭИ474")</f>
        <v>а25Х13Н2п       ЭИ474</v>
      </c>
      <c r="D649" s="131">
        <f ca="1">IFERROR(__xludf.DUMMYFUNCTION("""COMPUTED_VALUE"""),120)</f>
        <v>120</v>
      </c>
      <c r="E649" s="131"/>
      <c r="F649" s="132" t="str">
        <f ca="1">IFERROR(__xludf.DUMMYFUNCTION("""COMPUTED_VALUE"""),"ту 14-1-721-73, отж, АТП, ков")</f>
        <v>ту 14-1-721-73, отж, АТП, ков</v>
      </c>
      <c r="G649" s="133">
        <f ca="1">IFERROR(__xludf.DUMMYFUNCTION("""COMPUTED_VALUE"""),0.16)</f>
        <v>0.16</v>
      </c>
      <c r="H649" s="133"/>
      <c r="I649" s="134">
        <f ca="1">IFERROR(__xludf.DUMMYFUNCTION("""COMPUTED_VALUE"""),1000000)</f>
        <v>1000000</v>
      </c>
    </row>
    <row r="650" spans="2:9" x14ac:dyDescent="0.3">
      <c r="B650" s="130" t="str">
        <f ca="1">IFERROR(__xludf.DUMMYFUNCTION("""COMPUTED_VALUE"""),"Круг ")</f>
        <v xml:space="preserve">Круг </v>
      </c>
      <c r="C650" s="125" t="str">
        <f ca="1">IFERROR(__xludf.DUMMYFUNCTION("""COMPUTED_VALUE"""),"а25Х13Н2п       ЭИ474")</f>
        <v>а25Х13Н2п       ЭИ474</v>
      </c>
      <c r="D650" s="131">
        <f ca="1">IFERROR(__xludf.DUMMYFUNCTION("""COMPUTED_VALUE"""),120)</f>
        <v>120</v>
      </c>
      <c r="E650" s="131"/>
      <c r="F650" s="132" t="str">
        <f ca="1">IFERROR(__xludf.DUMMYFUNCTION("""COMPUTED_VALUE"""),"ту 14-1-721-73, отж, АТП, ков")</f>
        <v>ту 14-1-721-73, отж, АТП, ков</v>
      </c>
      <c r="G650" s="133">
        <f ca="1">IFERROR(__xludf.DUMMYFUNCTION("""COMPUTED_VALUE"""),0.399)</f>
        <v>0.39900000000000002</v>
      </c>
      <c r="H650" s="133"/>
      <c r="I650" s="134">
        <f ca="1">IFERROR(__xludf.DUMMYFUNCTION("""COMPUTED_VALUE"""),1000000)</f>
        <v>1000000</v>
      </c>
    </row>
    <row r="651" spans="2:9" x14ac:dyDescent="0.3">
      <c r="B651" s="130" t="str">
        <f ca="1">IFERROR(__xludf.DUMMYFUNCTION("""COMPUTED_VALUE"""),"Круг ков.")</f>
        <v>Круг ков.</v>
      </c>
      <c r="C651" s="125" t="str">
        <f ca="1">IFERROR(__xludf.DUMMYFUNCTION("""COMPUTED_VALUE"""),"а25Х13Н2п       ЭИ474")</f>
        <v>а25Х13Н2п       ЭИ474</v>
      </c>
      <c r="D651" s="131">
        <f ca="1">IFERROR(__xludf.DUMMYFUNCTION("""COMPUTED_VALUE"""),130)</f>
        <v>130</v>
      </c>
      <c r="E651" s="131"/>
      <c r="F651" s="132" t="str">
        <f ca="1">IFERROR(__xludf.DUMMYFUNCTION("""COMPUTED_VALUE"""),"ту 14-1-721-73, отж, АТП")</f>
        <v>ту 14-1-721-73, отж, АТП</v>
      </c>
      <c r="G651" s="133">
        <f ca="1">IFERROR(__xludf.DUMMYFUNCTION("""COMPUTED_VALUE"""),0.168)</f>
        <v>0.16800000000000001</v>
      </c>
      <c r="H651" s="133"/>
      <c r="I651" s="134">
        <f ca="1">IFERROR(__xludf.DUMMYFUNCTION("""COMPUTED_VALUE"""),1100000)</f>
        <v>1100000</v>
      </c>
    </row>
    <row r="652" spans="2:9" x14ac:dyDescent="0.3">
      <c r="B652" s="130" t="str">
        <f ca="1">IFERROR(__xludf.DUMMYFUNCTION("""COMPUTED_VALUE"""),"Круг ")</f>
        <v xml:space="preserve">Круг </v>
      </c>
      <c r="C652" s="125" t="str">
        <f ca="1">IFERROR(__xludf.DUMMYFUNCTION("""COMPUTED_VALUE"""),"а25Х13Н2п       ЭИ474")</f>
        <v>а25Х13Н2п       ЭИ474</v>
      </c>
      <c r="D652" s="131">
        <f ca="1">IFERROR(__xludf.DUMMYFUNCTION("""COMPUTED_VALUE"""),140)</f>
        <v>140</v>
      </c>
      <c r="E652" s="131"/>
      <c r="F652" s="132" t="str">
        <f ca="1">IFERROR(__xludf.DUMMYFUNCTION("""COMPUTED_VALUE"""),"ту 14-1-721-73, отж, АТП")</f>
        <v>ту 14-1-721-73, отж, АТП</v>
      </c>
      <c r="G652" s="133">
        <f ca="1">IFERROR(__xludf.DUMMYFUNCTION("""COMPUTED_VALUE"""),1.286)</f>
        <v>1.286</v>
      </c>
      <c r="H652" s="133"/>
      <c r="I652" s="134">
        <f ca="1">IFERROR(__xludf.DUMMYFUNCTION("""COMPUTED_VALUE"""),1000000)</f>
        <v>1000000</v>
      </c>
    </row>
    <row r="653" spans="2:9" x14ac:dyDescent="0.3">
      <c r="B653" s="130" t="str">
        <f ca="1">IFERROR(__xludf.DUMMYFUNCTION("""COMPUTED_VALUE"""),"Круг ков.")</f>
        <v>Круг ков.</v>
      </c>
      <c r="C653" s="125" t="str">
        <f ca="1">IFERROR(__xludf.DUMMYFUNCTION("""COMPUTED_VALUE"""),"а25Х13Н2п       ЭИ474")</f>
        <v>а25Х13Н2п       ЭИ474</v>
      </c>
      <c r="D653" s="131">
        <f ca="1">IFERROR(__xludf.DUMMYFUNCTION("""COMPUTED_VALUE"""),145)</f>
        <v>145</v>
      </c>
      <c r="E653" s="131"/>
      <c r="F653" s="132" t="str">
        <f ca="1">IFERROR(__xludf.DUMMYFUNCTION("""COMPUTED_VALUE"""),"ту 14-1-721-73, отж, бе3 РТ")</f>
        <v>ту 14-1-721-73, отж, бе3 РТ</v>
      </c>
      <c r="G653" s="133">
        <f ca="1">IFERROR(__xludf.DUMMYFUNCTION("""COMPUTED_VALUE"""),0.327)</f>
        <v>0.32700000000000001</v>
      </c>
      <c r="H653" s="133"/>
      <c r="I653" s="134">
        <f ca="1">IFERROR(__xludf.DUMMYFUNCTION("""COMPUTED_VALUE"""),1100000)</f>
        <v>1100000</v>
      </c>
    </row>
    <row r="654" spans="2:9" x14ac:dyDescent="0.3">
      <c r="B654" s="130" t="str">
        <f ca="1">IFERROR(__xludf.DUMMYFUNCTION("""COMPUTED_VALUE"""),"Круг ков.")</f>
        <v>Круг ков.</v>
      </c>
      <c r="C654" s="125" t="str">
        <f ca="1">IFERROR(__xludf.DUMMYFUNCTION("""COMPUTED_VALUE"""),"а25Х13Н2п       ЭИ474")</f>
        <v>а25Х13Н2п       ЭИ474</v>
      </c>
      <c r="D654" s="131">
        <f ca="1">IFERROR(__xludf.DUMMYFUNCTION("""COMPUTED_VALUE"""),150)</f>
        <v>150</v>
      </c>
      <c r="E654" s="131"/>
      <c r="F654" s="132" t="str">
        <f ca="1">IFERROR(__xludf.DUMMYFUNCTION("""COMPUTED_VALUE"""),"ту 14-1-721-73, отж, АТП")</f>
        <v>ту 14-1-721-73, отж, АТП</v>
      </c>
      <c r="G654" s="133">
        <f ca="1">IFERROR(__xludf.DUMMYFUNCTION("""COMPUTED_VALUE"""),1.035)</f>
        <v>1.0349999999999999</v>
      </c>
      <c r="H654" s="133"/>
      <c r="I654" s="134">
        <f ca="1">IFERROR(__xludf.DUMMYFUNCTION("""COMPUTED_VALUE"""),1100000)</f>
        <v>1100000</v>
      </c>
    </row>
    <row r="655" spans="2:9" x14ac:dyDescent="0.3">
      <c r="B655" s="130" t="str">
        <f ca="1">IFERROR(__xludf.DUMMYFUNCTION("""COMPUTED_VALUE"""),"Круг ков.")</f>
        <v>Круг ков.</v>
      </c>
      <c r="C655" s="125" t="str">
        <f ca="1">IFERROR(__xludf.DUMMYFUNCTION("""COMPUTED_VALUE"""),"а25Х13Н2п       ЭИ474")</f>
        <v>а25Х13Н2п       ЭИ474</v>
      </c>
      <c r="D655" s="131">
        <f ca="1">IFERROR(__xludf.DUMMYFUNCTION("""COMPUTED_VALUE"""),170)</f>
        <v>170</v>
      </c>
      <c r="E655" s="131"/>
      <c r="F655" s="132" t="str">
        <f ca="1">IFERROR(__xludf.DUMMYFUNCTION("""COMPUTED_VALUE"""),"ту 14-1-721-73, отж, АТП ков")</f>
        <v>ту 14-1-721-73, отж, АТП ков</v>
      </c>
      <c r="G655" s="133">
        <f ca="1">IFERROR(__xludf.DUMMYFUNCTION("""COMPUTED_VALUE"""),2.57499999999999)</f>
        <v>2.57499999999999</v>
      </c>
      <c r="H655" s="133"/>
      <c r="I655" s="134">
        <f ca="1">IFERROR(__xludf.DUMMYFUNCTION("""COMPUTED_VALUE"""),1100000)</f>
        <v>1100000</v>
      </c>
    </row>
    <row r="656" spans="2:9" x14ac:dyDescent="0.3">
      <c r="B656" s="130" t="str">
        <f ca="1">IFERROR(__xludf.DUMMYFUNCTION("""COMPUTED_VALUE"""),"Круг ков.")</f>
        <v>Круг ков.</v>
      </c>
      <c r="C656" s="125" t="str">
        <f ca="1">IFERROR(__xludf.DUMMYFUNCTION("""COMPUTED_VALUE"""),"а25Х13Н2п       ЭИ474")</f>
        <v>а25Х13Н2п       ЭИ474</v>
      </c>
      <c r="D656" s="131">
        <f ca="1">IFERROR(__xludf.DUMMYFUNCTION("""COMPUTED_VALUE"""),180)</f>
        <v>180</v>
      </c>
      <c r="E656" s="131"/>
      <c r="F656" s="132" t="str">
        <f ca="1">IFERROR(__xludf.DUMMYFUNCTION("""COMPUTED_VALUE"""),"ту 14-1-721-73, отж, АТП")</f>
        <v>ту 14-1-721-73, отж, АТП</v>
      </c>
      <c r="G656" s="133">
        <f ca="1">IFERROR(__xludf.DUMMYFUNCTION("""COMPUTED_VALUE"""),0.343999999999999)</f>
        <v>0.34399999999999897</v>
      </c>
      <c r="H656" s="133"/>
      <c r="I656" s="134">
        <f ca="1">IFERROR(__xludf.DUMMYFUNCTION("""COMPUTED_VALUE"""),1100000)</f>
        <v>1100000</v>
      </c>
    </row>
    <row r="657" spans="2:9" x14ac:dyDescent="0.3">
      <c r="B657" s="130" t="str">
        <f ca="1">IFERROR(__xludf.DUMMYFUNCTION("""COMPUTED_VALUE"""),"Круг ков.")</f>
        <v>Круг ков.</v>
      </c>
      <c r="C657" s="125" t="str">
        <f ca="1">IFERROR(__xludf.DUMMYFUNCTION("""COMPUTED_VALUE"""),"а25Х13Н2п       ЭИ474")</f>
        <v>а25Х13Н2п       ЭИ474</v>
      </c>
      <c r="D657" s="131">
        <f ca="1">IFERROR(__xludf.DUMMYFUNCTION("""COMPUTED_VALUE"""),200)</f>
        <v>200</v>
      </c>
      <c r="E657" s="131"/>
      <c r="F657" s="132" t="str">
        <f ca="1">IFERROR(__xludf.DUMMYFUNCTION("""COMPUTED_VALUE"""),"ту 14-1-721-73, отж, АТП")</f>
        <v>ту 14-1-721-73, отж, АТП</v>
      </c>
      <c r="G657" s="133">
        <f ca="1">IFERROR(__xludf.DUMMYFUNCTION("""COMPUTED_VALUE"""),1.697)</f>
        <v>1.6970000000000001</v>
      </c>
      <c r="H657" s="133"/>
      <c r="I657" s="134">
        <f ca="1">IFERROR(__xludf.DUMMYFUNCTION("""COMPUTED_VALUE"""),1100000)</f>
        <v>1100000</v>
      </c>
    </row>
    <row r="658" spans="2:9" x14ac:dyDescent="0.3">
      <c r="B658" s="130" t="str">
        <f ca="1">IFERROR(__xludf.DUMMYFUNCTION("""COMPUTED_VALUE"""),"Круг ков.")</f>
        <v>Круг ков.</v>
      </c>
      <c r="C658" s="125" t="str">
        <f ca="1">IFERROR(__xludf.DUMMYFUNCTION("""COMPUTED_VALUE"""),"а25Х13Н2п       ЭИ474")</f>
        <v>а25Х13Н2п       ЭИ474</v>
      </c>
      <c r="D658" s="131">
        <f ca="1">IFERROR(__xludf.DUMMYFUNCTION("""COMPUTED_VALUE"""),200)</f>
        <v>200</v>
      </c>
      <c r="E658" s="131"/>
      <c r="F658" s="132" t="str">
        <f ca="1">IFERROR(__xludf.DUMMYFUNCTION("""COMPUTED_VALUE"""),"ту 14-1-721-73, отж, АТП")</f>
        <v>ту 14-1-721-73, отж, АТП</v>
      </c>
      <c r="G658" s="133">
        <f ca="1">IFERROR(__xludf.DUMMYFUNCTION("""COMPUTED_VALUE"""),0.183)</f>
        <v>0.183</v>
      </c>
      <c r="H658" s="133"/>
      <c r="I658" s="134">
        <f ca="1">IFERROR(__xludf.DUMMYFUNCTION("""COMPUTED_VALUE"""),1100000)</f>
        <v>1100000</v>
      </c>
    </row>
    <row r="659" spans="2:9" x14ac:dyDescent="0.3">
      <c r="B659" s="130" t="str">
        <f ca="1">IFERROR(__xludf.DUMMYFUNCTION("""COMPUTED_VALUE"""),"Круг ков.")</f>
        <v>Круг ков.</v>
      </c>
      <c r="C659" s="125" t="str">
        <f ca="1">IFERROR(__xludf.DUMMYFUNCTION("""COMPUTED_VALUE"""),"а25Х13Н2п       ЭИ474")</f>
        <v>а25Х13Н2п       ЭИ474</v>
      </c>
      <c r="D659" s="131">
        <f ca="1">IFERROR(__xludf.DUMMYFUNCTION("""COMPUTED_VALUE"""),220)</f>
        <v>220</v>
      </c>
      <c r="E659" s="131"/>
      <c r="F659" s="132" t="str">
        <f ca="1">IFERROR(__xludf.DUMMYFUNCTION("""COMPUTED_VALUE"""),"ту 14-1-721-73, отж, АТП")</f>
        <v>ту 14-1-721-73, отж, АТП</v>
      </c>
      <c r="G659" s="133">
        <f ca="1">IFERROR(__xludf.DUMMYFUNCTION("""COMPUTED_VALUE"""),2.29399999999999)</f>
        <v>2.2939999999999898</v>
      </c>
      <c r="H659" s="133"/>
      <c r="I659" s="134">
        <f ca="1">IFERROR(__xludf.DUMMYFUNCTION("""COMPUTED_VALUE"""),1100000)</f>
        <v>1100000</v>
      </c>
    </row>
    <row r="660" spans="2:9" x14ac:dyDescent="0.3">
      <c r="B660" s="130" t="str">
        <f ca="1">IFERROR(__xludf.DUMMYFUNCTION("""COMPUTED_VALUE"""),"Круг ков.")</f>
        <v>Круг ков.</v>
      </c>
      <c r="C660" s="125" t="str">
        <f ca="1">IFERROR(__xludf.DUMMYFUNCTION("""COMPUTED_VALUE"""),"а25Х13Н2п       ЭИ474")</f>
        <v>а25Х13Н2п       ЭИ474</v>
      </c>
      <c r="D660" s="131">
        <f ca="1">IFERROR(__xludf.DUMMYFUNCTION("""COMPUTED_VALUE"""),250)</f>
        <v>250</v>
      </c>
      <c r="E660" s="131"/>
      <c r="F660" s="132" t="str">
        <f ca="1">IFERROR(__xludf.DUMMYFUNCTION("""COMPUTED_VALUE"""),"ту 14-1-721-73, отж, АТП")</f>
        <v>ту 14-1-721-73, отж, АТП</v>
      </c>
      <c r="G660" s="133">
        <f ca="1">IFERROR(__xludf.DUMMYFUNCTION("""COMPUTED_VALUE"""),0.557999999999999)</f>
        <v>0.55799999999999905</v>
      </c>
      <c r="H660" s="133"/>
      <c r="I660" s="134">
        <f ca="1">IFERROR(__xludf.DUMMYFUNCTION("""COMPUTED_VALUE"""),1100000)</f>
        <v>1100000</v>
      </c>
    </row>
    <row r="661" spans="2:9" x14ac:dyDescent="0.3">
      <c r="B661" s="130" t="str">
        <f ca="1">IFERROR(__xludf.DUMMYFUNCTION("""COMPUTED_VALUE"""),"Круг ков.")</f>
        <v>Круг ков.</v>
      </c>
      <c r="C661" s="125" t="str">
        <f ca="1">IFERROR(__xludf.DUMMYFUNCTION("""COMPUTED_VALUE"""),"а25Х13Н2п       ЭИ474")</f>
        <v>а25Х13Н2п       ЭИ474</v>
      </c>
      <c r="D661" s="131">
        <f ca="1">IFERROR(__xludf.DUMMYFUNCTION("""COMPUTED_VALUE"""),250)</f>
        <v>250</v>
      </c>
      <c r="E661" s="131"/>
      <c r="F661" s="132" t="str">
        <f ca="1">IFERROR(__xludf.DUMMYFUNCTION("""COMPUTED_VALUE"""),"ту 14-1-721-73, отж, АТП")</f>
        <v>ту 14-1-721-73, отж, АТП</v>
      </c>
      <c r="G661" s="133">
        <f ca="1">IFERROR(__xludf.DUMMYFUNCTION("""COMPUTED_VALUE"""),0.775)</f>
        <v>0.77500000000000002</v>
      </c>
      <c r="H661" s="133"/>
      <c r="I661" s="134">
        <f ca="1">IFERROR(__xludf.DUMMYFUNCTION("""COMPUTED_VALUE"""),1100000)</f>
        <v>1100000</v>
      </c>
    </row>
    <row r="662" spans="2:9" x14ac:dyDescent="0.3">
      <c r="B662" s="130" t="str">
        <f ca="1">IFERROR(__xludf.DUMMYFUNCTION("""COMPUTED_VALUE"""),"Круг ков.")</f>
        <v>Круг ков.</v>
      </c>
      <c r="C662" s="125" t="str">
        <f ca="1">IFERROR(__xludf.DUMMYFUNCTION("""COMPUTED_VALUE"""),"а25Х13Н2п       ЭИ474")</f>
        <v>а25Х13Н2п       ЭИ474</v>
      </c>
      <c r="D662" s="131">
        <f ca="1">IFERROR(__xludf.DUMMYFUNCTION("""COMPUTED_VALUE"""),280)</f>
        <v>280</v>
      </c>
      <c r="E662" s="131"/>
      <c r="F662" s="132" t="str">
        <f ca="1">IFERROR(__xludf.DUMMYFUNCTION("""COMPUTED_VALUE"""),"ту 14-1-721-73, отж, АТП")</f>
        <v>ту 14-1-721-73, отж, АТП</v>
      </c>
      <c r="G662" s="133">
        <f ca="1">IFERROR(__xludf.DUMMYFUNCTION("""COMPUTED_VALUE"""),3.865)</f>
        <v>3.8650000000000002</v>
      </c>
      <c r="H662" s="133"/>
      <c r="I662" s="134">
        <f ca="1">IFERROR(__xludf.DUMMYFUNCTION("""COMPUTED_VALUE"""),1100000)</f>
        <v>1100000</v>
      </c>
    </row>
    <row r="663" spans="2:9" x14ac:dyDescent="0.3">
      <c r="B663" s="130" t="str">
        <f ca="1">IFERROR(__xludf.DUMMYFUNCTION("""COMPUTED_VALUE"""),"Круг ков.")</f>
        <v>Круг ков.</v>
      </c>
      <c r="C663" s="125" t="str">
        <f ca="1">IFERROR(__xludf.DUMMYFUNCTION("""COMPUTED_VALUE"""),"а25Х13Н2п       ЭИ474")</f>
        <v>а25Х13Н2п       ЭИ474</v>
      </c>
      <c r="D663" s="131">
        <f ca="1">IFERROR(__xludf.DUMMYFUNCTION("""COMPUTED_VALUE"""),300)</f>
        <v>300</v>
      </c>
      <c r="E663" s="131"/>
      <c r="F663" s="132" t="str">
        <f ca="1">IFERROR(__xludf.DUMMYFUNCTION("""COMPUTED_VALUE"""),"ту 14-1-721-73, отж, АТП")</f>
        <v>ту 14-1-721-73, отж, АТП</v>
      </c>
      <c r="G663" s="133">
        <f ca="1">IFERROR(__xludf.DUMMYFUNCTION("""COMPUTED_VALUE"""),4.171)</f>
        <v>4.1710000000000003</v>
      </c>
      <c r="H663" s="133"/>
      <c r="I663" s="134">
        <f ca="1">IFERROR(__xludf.DUMMYFUNCTION("""COMPUTED_VALUE"""),1100000)</f>
        <v>1100000</v>
      </c>
    </row>
    <row r="664" spans="2:9" x14ac:dyDescent="0.3">
      <c r="B664" s="130" t="str">
        <f ca="1">IFERROR(__xludf.DUMMYFUNCTION("""COMPUTED_VALUE"""),"Круг")</f>
        <v>Круг</v>
      </c>
      <c r="C664" s="125" t="str">
        <f ca="1">IFERROR(__xludf.DUMMYFUNCTION("""COMPUTED_VALUE"""),"25Х17Н2Б-ш, х/т")</f>
        <v>25Х17Н2Б-ш, х/т</v>
      </c>
      <c r="D664" s="131">
        <f ca="1">IFERROR(__xludf.DUMMYFUNCTION("""COMPUTED_VALUE"""),5)</f>
        <v>5</v>
      </c>
      <c r="E664" s="131"/>
      <c r="F664" s="132" t="str">
        <f ca="1">IFERROR(__xludf.DUMMYFUNCTION("""COMPUTED_VALUE"""),"14-1-1062-2021/14955, h9, РТТ")</f>
        <v>14-1-1062-2021/14955, h9, РТТ</v>
      </c>
      <c r="G664" s="133">
        <f ca="1">IFERROR(__xludf.DUMMYFUNCTION("""COMPUTED_VALUE"""),0.002)</f>
        <v>2E-3</v>
      </c>
      <c r="H664" s="133"/>
      <c r="I664" s="134">
        <f ca="1">IFERROR(__xludf.DUMMYFUNCTION("""COMPUTED_VALUE"""),3200000)</f>
        <v>3200000</v>
      </c>
    </row>
    <row r="665" spans="2:9" x14ac:dyDescent="0.3">
      <c r="B665" s="130" t="str">
        <f ca="1">IFERROR(__xludf.DUMMYFUNCTION("""COMPUTED_VALUE"""),"Круг")</f>
        <v>Круг</v>
      </c>
      <c r="C665" s="125" t="str">
        <f ca="1">IFERROR(__xludf.DUMMYFUNCTION("""COMPUTED_VALUE"""),"25Х17Н2Б-ш, х/т")</f>
        <v>25Х17Н2Б-ш, х/т</v>
      </c>
      <c r="D665" s="131">
        <f ca="1">IFERROR(__xludf.DUMMYFUNCTION("""COMPUTED_VALUE"""),5)</f>
        <v>5</v>
      </c>
      <c r="E665" s="131"/>
      <c r="F665" s="132" t="str">
        <f ca="1">IFERROR(__xludf.DUMMYFUNCTION("""COMPUTED_VALUE"""),"14-1-1062-2021/14955, h9, РТТ")</f>
        <v>14-1-1062-2021/14955, h9, РТТ</v>
      </c>
      <c r="G665" s="133">
        <f ca="1">IFERROR(__xludf.DUMMYFUNCTION("""COMPUTED_VALUE"""),0.12)</f>
        <v>0.12</v>
      </c>
      <c r="H665" s="133"/>
      <c r="I665" s="134">
        <f ca="1">IFERROR(__xludf.DUMMYFUNCTION("""COMPUTED_VALUE"""),3200000)</f>
        <v>3200000</v>
      </c>
    </row>
    <row r="666" spans="2:9" x14ac:dyDescent="0.3">
      <c r="B666" s="130" t="str">
        <f ca="1">IFERROR(__xludf.DUMMYFUNCTION("""COMPUTED_VALUE"""),"Круг")</f>
        <v>Круг</v>
      </c>
      <c r="C666" s="125" t="str">
        <f ca="1">IFERROR(__xludf.DUMMYFUNCTION("""COMPUTED_VALUE"""),"25Х17Н2Б-ш, х/т")</f>
        <v>25Х17Н2Б-ш, х/т</v>
      </c>
      <c r="D666" s="131">
        <f ca="1">IFERROR(__xludf.DUMMYFUNCTION("""COMPUTED_VALUE"""),8)</f>
        <v>8</v>
      </c>
      <c r="E666" s="131"/>
      <c r="F666" s="132" t="str">
        <f ca="1">IFERROR(__xludf.DUMMYFUNCTION("""COMPUTED_VALUE"""),"14-1-1062-2021/14955, h9, РТТ")</f>
        <v>14-1-1062-2021/14955, h9, РТТ</v>
      </c>
      <c r="G666" s="133">
        <f ca="1">IFERROR(__xludf.DUMMYFUNCTION("""COMPUTED_VALUE"""),0.024)</f>
        <v>2.4E-2</v>
      </c>
      <c r="H666" s="133"/>
      <c r="I666" s="134">
        <f ca="1">IFERROR(__xludf.DUMMYFUNCTION("""COMPUTED_VALUE"""),3200000)</f>
        <v>3200000</v>
      </c>
    </row>
    <row r="667" spans="2:9" x14ac:dyDescent="0.3">
      <c r="B667" s="130" t="str">
        <f ca="1">IFERROR(__xludf.DUMMYFUNCTION("""COMPUTED_VALUE"""),"Круг")</f>
        <v>Круг</v>
      </c>
      <c r="C667" s="125" t="str">
        <f ca="1">IFERROR(__xludf.DUMMYFUNCTION("""COMPUTED_VALUE"""),"25Х17Н2Б-ш, х/т")</f>
        <v>25Х17Н2Б-ш, х/т</v>
      </c>
      <c r="D667" s="131">
        <f ca="1">IFERROR(__xludf.DUMMYFUNCTION("""COMPUTED_VALUE"""),10)</f>
        <v>10</v>
      </c>
      <c r="E667" s="131"/>
      <c r="F667" s="132" t="str">
        <f ca="1">IFERROR(__xludf.DUMMYFUNCTION("""COMPUTED_VALUE"""),"14-1-1062-2021/14955, h9, РТТ")</f>
        <v>14-1-1062-2021/14955, h9, РТТ</v>
      </c>
      <c r="G667" s="133">
        <f ca="1">IFERROR(__xludf.DUMMYFUNCTION("""COMPUTED_VALUE"""),0.25)</f>
        <v>0.25</v>
      </c>
      <c r="H667" s="133"/>
      <c r="I667" s="134">
        <f ca="1">IFERROR(__xludf.DUMMYFUNCTION("""COMPUTED_VALUE"""),3200000)</f>
        <v>3200000</v>
      </c>
    </row>
    <row r="668" spans="2:9" x14ac:dyDescent="0.3">
      <c r="B668" s="130" t="str">
        <f ca="1">IFERROR(__xludf.DUMMYFUNCTION("""COMPUTED_VALUE"""),"Круг")</f>
        <v>Круг</v>
      </c>
      <c r="C668" s="125" t="str">
        <f ca="1">IFERROR(__xludf.DUMMYFUNCTION("""COMPUTED_VALUE"""),"25Х17Н2Б-ш, х/т")</f>
        <v>25Х17Н2Б-ш, х/т</v>
      </c>
      <c r="D668" s="131">
        <f ca="1">IFERROR(__xludf.DUMMYFUNCTION("""COMPUTED_VALUE"""),12)</f>
        <v>12</v>
      </c>
      <c r="E668" s="131"/>
      <c r="F668" s="132" t="str">
        <f ca="1">IFERROR(__xludf.DUMMYFUNCTION("""COMPUTED_VALUE"""),"14-1-1062-2021/14955, h9, РТТ")</f>
        <v>14-1-1062-2021/14955, h9, РТТ</v>
      </c>
      <c r="G668" s="133">
        <f ca="1">IFERROR(__xludf.DUMMYFUNCTION("""COMPUTED_VALUE"""),0.138999999999999)</f>
        <v>0.13899999999999901</v>
      </c>
      <c r="H668" s="133"/>
      <c r="I668" s="134">
        <f ca="1">IFERROR(__xludf.DUMMYFUNCTION("""COMPUTED_VALUE"""),3200000)</f>
        <v>3200000</v>
      </c>
    </row>
    <row r="669" spans="2:9" x14ac:dyDescent="0.3">
      <c r="B669" s="130" t="str">
        <f ca="1">IFERROR(__xludf.DUMMYFUNCTION("""COMPUTED_VALUE"""),"Круг")</f>
        <v>Круг</v>
      </c>
      <c r="C669" s="125" t="str">
        <f ca="1">IFERROR(__xludf.DUMMYFUNCTION("""COMPUTED_VALUE"""),"25Х17Н2Б-ш, х/т")</f>
        <v>25Х17Н2Б-ш, х/т</v>
      </c>
      <c r="D669" s="131">
        <f ca="1">IFERROR(__xludf.DUMMYFUNCTION("""COMPUTED_VALUE"""),12)</f>
        <v>12</v>
      </c>
      <c r="E669" s="131"/>
      <c r="F669" s="132" t="str">
        <f ca="1">IFERROR(__xludf.DUMMYFUNCTION("""COMPUTED_VALUE"""),"14-1-1062-2021/14955, h9, РТТ")</f>
        <v>14-1-1062-2021/14955, h9, РТТ</v>
      </c>
      <c r="G669" s="133">
        <f ca="1">IFERROR(__xludf.DUMMYFUNCTION("""COMPUTED_VALUE"""),0.3)</f>
        <v>0.3</v>
      </c>
      <c r="H669" s="133"/>
      <c r="I669" s="134">
        <f ca="1">IFERROR(__xludf.DUMMYFUNCTION("""COMPUTED_VALUE"""),3200000)</f>
        <v>3200000</v>
      </c>
    </row>
    <row r="670" spans="2:9" x14ac:dyDescent="0.3">
      <c r="B670" s="130" t="str">
        <f ca="1">IFERROR(__xludf.DUMMYFUNCTION("""COMPUTED_VALUE"""),"Круг")</f>
        <v>Круг</v>
      </c>
      <c r="C670" s="125" t="str">
        <f ca="1">IFERROR(__xludf.DUMMYFUNCTION("""COMPUTED_VALUE"""),"25Х17Н2Б-ш, х/т")</f>
        <v>25Х17Н2Б-ш, х/т</v>
      </c>
      <c r="D670" s="131">
        <f ca="1">IFERROR(__xludf.DUMMYFUNCTION("""COMPUTED_VALUE"""),16)</f>
        <v>16</v>
      </c>
      <c r="E670" s="131"/>
      <c r="F670" s="132" t="str">
        <f ca="1">IFERROR(__xludf.DUMMYFUNCTION("""COMPUTED_VALUE"""),"14-1-1062-2021/14955, h9, РТТ")</f>
        <v>14-1-1062-2021/14955, h9, РТТ</v>
      </c>
      <c r="G670" s="133">
        <f ca="1">IFERROR(__xludf.DUMMYFUNCTION("""COMPUTED_VALUE"""),0.0249999999999999)</f>
        <v>2.4999999999999901E-2</v>
      </c>
      <c r="H670" s="133"/>
      <c r="I670" s="134">
        <f ca="1">IFERROR(__xludf.DUMMYFUNCTION("""COMPUTED_VALUE"""),3200000)</f>
        <v>3200000</v>
      </c>
    </row>
    <row r="671" spans="2:9" x14ac:dyDescent="0.3">
      <c r="B671" s="130" t="str">
        <f ca="1">IFERROR(__xludf.DUMMYFUNCTION("""COMPUTED_VALUE"""),"Круг")</f>
        <v>Круг</v>
      </c>
      <c r="C671" s="125" t="str">
        <f ca="1">IFERROR(__xludf.DUMMYFUNCTION("""COMPUTED_VALUE"""),"25Х17Н2Б-ш, х/т")</f>
        <v>25Х17Н2Б-ш, х/т</v>
      </c>
      <c r="D671" s="131">
        <f ca="1">IFERROR(__xludf.DUMMYFUNCTION("""COMPUTED_VALUE"""),16)</f>
        <v>16</v>
      </c>
      <c r="E671" s="131"/>
      <c r="F671" s="132" t="str">
        <f ca="1">IFERROR(__xludf.DUMMYFUNCTION("""COMPUTED_VALUE"""),"14-1-1062-2021/14955, h9, РТТ")</f>
        <v>14-1-1062-2021/14955, h9, РТТ</v>
      </c>
      <c r="G671" s="133">
        <f ca="1">IFERROR(__xludf.DUMMYFUNCTION("""COMPUTED_VALUE"""),0.21)</f>
        <v>0.21</v>
      </c>
      <c r="H671" s="133"/>
      <c r="I671" s="134">
        <f ca="1">IFERROR(__xludf.DUMMYFUNCTION("""COMPUTED_VALUE"""),3200000)</f>
        <v>3200000</v>
      </c>
    </row>
    <row r="672" spans="2:9" x14ac:dyDescent="0.3">
      <c r="B672" s="130" t="str">
        <f ca="1">IFERROR(__xludf.DUMMYFUNCTION("""COMPUTED_VALUE"""),"Круг")</f>
        <v>Круг</v>
      </c>
      <c r="C672" s="125" t="str">
        <f ca="1">IFERROR(__xludf.DUMMYFUNCTION("""COMPUTED_VALUE"""),"25Х17Н2Б-ш, х/т")</f>
        <v>25Х17Н2Б-ш, х/т</v>
      </c>
      <c r="D672" s="131">
        <f ca="1">IFERROR(__xludf.DUMMYFUNCTION("""COMPUTED_VALUE"""),18)</f>
        <v>18</v>
      </c>
      <c r="E672" s="131"/>
      <c r="F672" s="132" t="str">
        <f ca="1">IFERROR(__xludf.DUMMYFUNCTION("""COMPUTED_VALUE"""),"14-1-1062-2021/14955, h9, РТТ")</f>
        <v>14-1-1062-2021/14955, h9, РТТ</v>
      </c>
      <c r="G672" s="133">
        <f ca="1">IFERROR(__xludf.DUMMYFUNCTION("""COMPUTED_VALUE"""),0.19)</f>
        <v>0.19</v>
      </c>
      <c r="H672" s="133"/>
      <c r="I672" s="134">
        <f ca="1">IFERROR(__xludf.DUMMYFUNCTION("""COMPUTED_VALUE"""),3200000)</f>
        <v>3200000</v>
      </c>
    </row>
    <row r="673" spans="2:9" x14ac:dyDescent="0.3">
      <c r="B673" s="130" t="str">
        <f ca="1">IFERROR(__xludf.DUMMYFUNCTION("""COMPUTED_VALUE"""),"Круг")</f>
        <v>Круг</v>
      </c>
      <c r="C673" s="125" t="str">
        <f ca="1">IFERROR(__xludf.DUMMYFUNCTION("""COMPUTED_VALUE"""),"25Х17Н2Б-ш, х/т")</f>
        <v>25Х17Н2Б-ш, х/т</v>
      </c>
      <c r="D673" s="131">
        <f ca="1">IFERROR(__xludf.DUMMYFUNCTION("""COMPUTED_VALUE"""),18)</f>
        <v>18</v>
      </c>
      <c r="E673" s="131"/>
      <c r="F673" s="132" t="str">
        <f ca="1">IFERROR(__xludf.DUMMYFUNCTION("""COMPUTED_VALUE"""),"14-1-1062-2021/14955, h9, РТТ")</f>
        <v>14-1-1062-2021/14955, h9, РТТ</v>
      </c>
      <c r="G673" s="133">
        <f ca="1">IFERROR(__xludf.DUMMYFUNCTION("""COMPUTED_VALUE"""),0.13)</f>
        <v>0.13</v>
      </c>
      <c r="H673" s="133"/>
      <c r="I673" s="134">
        <f ca="1">IFERROR(__xludf.DUMMYFUNCTION("""COMPUTED_VALUE"""),3200000)</f>
        <v>3200000</v>
      </c>
    </row>
    <row r="674" spans="2:9" x14ac:dyDescent="0.3">
      <c r="B674" s="130" t="str">
        <f ca="1">IFERROR(__xludf.DUMMYFUNCTION("""COMPUTED_VALUE"""),"Круг")</f>
        <v>Круг</v>
      </c>
      <c r="C674" s="125" t="str">
        <f ca="1">IFERROR(__xludf.DUMMYFUNCTION("""COMPUTED_VALUE"""),"25Х17Н2Б-ш, х/т")</f>
        <v>25Х17Н2Б-ш, х/т</v>
      </c>
      <c r="D674" s="131">
        <f ca="1">IFERROR(__xludf.DUMMYFUNCTION("""COMPUTED_VALUE"""),18)</f>
        <v>18</v>
      </c>
      <c r="E674" s="131"/>
      <c r="F674" s="132" t="str">
        <f ca="1">IFERROR(__xludf.DUMMYFUNCTION("""COMPUTED_VALUE"""),"14-1-1062-2021/14955, h11, РТТ")</f>
        <v>14-1-1062-2021/14955, h11, РТТ</v>
      </c>
      <c r="G674" s="133">
        <f ca="1">IFERROR(__xludf.DUMMYFUNCTION("""COMPUTED_VALUE"""),0.08)</f>
        <v>0.08</v>
      </c>
      <c r="H674" s="133"/>
      <c r="I674" s="134">
        <f ca="1">IFERROR(__xludf.DUMMYFUNCTION("""COMPUTED_VALUE"""),3200000)</f>
        <v>3200000</v>
      </c>
    </row>
    <row r="675" spans="2:9" x14ac:dyDescent="0.3">
      <c r="B675" s="130" t="str">
        <f ca="1">IFERROR(__xludf.DUMMYFUNCTION("""COMPUTED_VALUE"""),"Круг")</f>
        <v>Круг</v>
      </c>
      <c r="C675" s="125" t="str">
        <f ca="1">IFERROR(__xludf.DUMMYFUNCTION("""COMPUTED_VALUE"""),"25Х17Н2Б-ш, х/т")</f>
        <v>25Х17Н2Б-ш, х/т</v>
      </c>
      <c r="D675" s="131">
        <f ca="1">IFERROR(__xludf.DUMMYFUNCTION("""COMPUTED_VALUE"""),20)</f>
        <v>20</v>
      </c>
      <c r="E675" s="131"/>
      <c r="F675" s="132" t="str">
        <f ca="1">IFERROR(__xludf.DUMMYFUNCTION("""COMPUTED_VALUE"""),"14-1-1062-2021/14955, h11, РТТ")</f>
        <v>14-1-1062-2021/14955, h11, РТТ</v>
      </c>
      <c r="G675" s="133">
        <f ca="1">IFERROR(__xludf.DUMMYFUNCTION("""COMPUTED_VALUE"""),0.1)</f>
        <v>0.1</v>
      </c>
      <c r="H675" s="133"/>
      <c r="I675" s="134">
        <f ca="1">IFERROR(__xludf.DUMMYFUNCTION("""COMPUTED_VALUE"""),3200000)</f>
        <v>3200000</v>
      </c>
    </row>
    <row r="676" spans="2:9" x14ac:dyDescent="0.3">
      <c r="B676" s="130" t="str">
        <f ca="1">IFERROR(__xludf.DUMMYFUNCTION("""COMPUTED_VALUE"""),"Круг")</f>
        <v>Круг</v>
      </c>
      <c r="C676" s="125" t="str">
        <f ca="1">IFERROR(__xludf.DUMMYFUNCTION("""COMPUTED_VALUE"""),"25Х17Н2Б-ш, х/т")</f>
        <v>25Х17Н2Б-ш, х/т</v>
      </c>
      <c r="D676" s="131">
        <f ca="1">IFERROR(__xludf.DUMMYFUNCTION("""COMPUTED_VALUE"""),20)</f>
        <v>20</v>
      </c>
      <c r="E676" s="131"/>
      <c r="F676" s="132" t="str">
        <f ca="1">IFERROR(__xludf.DUMMYFUNCTION("""COMPUTED_VALUE"""),"14-1-1062-2021/14955, h11, РТТ")</f>
        <v>14-1-1062-2021/14955, h11, РТТ</v>
      </c>
      <c r="G676" s="133">
        <f ca="1">IFERROR(__xludf.DUMMYFUNCTION("""COMPUTED_VALUE"""),0.27)</f>
        <v>0.27</v>
      </c>
      <c r="H676" s="133"/>
      <c r="I676" s="134">
        <f ca="1">IFERROR(__xludf.DUMMYFUNCTION("""COMPUTED_VALUE"""),3200000)</f>
        <v>3200000</v>
      </c>
    </row>
    <row r="677" spans="2:9" x14ac:dyDescent="0.3">
      <c r="B677" s="130" t="str">
        <f ca="1">IFERROR(__xludf.DUMMYFUNCTION("""COMPUTED_VALUE"""),"Круг")</f>
        <v>Круг</v>
      </c>
      <c r="C677" s="125" t="str">
        <f ca="1">IFERROR(__xludf.DUMMYFUNCTION("""COMPUTED_VALUE"""),"25Х17Н2Б-ш, х/т")</f>
        <v>25Х17Н2Б-ш, х/т</v>
      </c>
      <c r="D677" s="131">
        <f ca="1">IFERROR(__xludf.DUMMYFUNCTION("""COMPUTED_VALUE"""),20)</f>
        <v>20</v>
      </c>
      <c r="E677" s="131"/>
      <c r="F677" s="132" t="str">
        <f ca="1">IFERROR(__xludf.DUMMYFUNCTION("""COMPUTED_VALUE"""),"14-1-1062-2021/14955, h11, РТТ")</f>
        <v>14-1-1062-2021/14955, h11, РТТ</v>
      </c>
      <c r="G677" s="133">
        <f ca="1">IFERROR(__xludf.DUMMYFUNCTION("""COMPUTED_VALUE"""),0.03)</f>
        <v>0.03</v>
      </c>
      <c r="H677" s="133"/>
      <c r="I677" s="134">
        <f ca="1">IFERROR(__xludf.DUMMYFUNCTION("""COMPUTED_VALUE"""),3200000)</f>
        <v>3200000</v>
      </c>
    </row>
    <row r="678" spans="2:9" x14ac:dyDescent="0.3">
      <c r="B678" s="130" t="str">
        <f ca="1">IFERROR(__xludf.DUMMYFUNCTION("""COMPUTED_VALUE"""),"Круг")</f>
        <v>Круг</v>
      </c>
      <c r="C678" s="125" t="str">
        <f ca="1">IFERROR(__xludf.DUMMYFUNCTION("""COMPUTED_VALUE"""),"25Х17Н2Б-ш")</f>
        <v>25Х17Н2Б-ш</v>
      </c>
      <c r="D678" s="131">
        <f ca="1">IFERROR(__xludf.DUMMYFUNCTION("""COMPUTED_VALUE"""),10)</f>
        <v>10</v>
      </c>
      <c r="E678" s="131"/>
      <c r="F678" s="132" t="str">
        <f ca="1">IFERROR(__xludf.DUMMYFUNCTION("""COMPUTED_VALUE"""),"2590/14-1-1062-2021,3ГП, УЗК ,РТТ")</f>
        <v>2590/14-1-1062-2021,3ГП, УЗК ,РТТ</v>
      </c>
      <c r="G678" s="133">
        <f ca="1">IFERROR(__xludf.DUMMYFUNCTION("""COMPUTED_VALUE"""),0.0789999999999999)</f>
        <v>7.8999999999999904E-2</v>
      </c>
      <c r="H678" s="133"/>
      <c r="I678" s="134">
        <f ca="1">IFERROR(__xludf.DUMMYFUNCTION("""COMPUTED_VALUE"""),2200000)</f>
        <v>2200000</v>
      </c>
    </row>
    <row r="679" spans="2:9" x14ac:dyDescent="0.3">
      <c r="B679" s="130" t="str">
        <f ca="1">IFERROR(__xludf.DUMMYFUNCTION("""COMPUTED_VALUE"""),"Круг")</f>
        <v>Круг</v>
      </c>
      <c r="C679" s="125" t="str">
        <f ca="1">IFERROR(__xludf.DUMMYFUNCTION("""COMPUTED_VALUE"""),"25Х17Н2Б-ш")</f>
        <v>25Х17Н2Б-ш</v>
      </c>
      <c r="D679" s="131">
        <f ca="1">IFERROR(__xludf.DUMMYFUNCTION("""COMPUTED_VALUE"""),10)</f>
        <v>10</v>
      </c>
      <c r="E679" s="131"/>
      <c r="F679" s="132" t="str">
        <f ca="1">IFERROR(__xludf.DUMMYFUNCTION("""COMPUTED_VALUE"""),"2590/14-1-1062-2021,3ГП, УЗК ,РТТ")</f>
        <v>2590/14-1-1062-2021,3ГП, УЗК ,РТТ</v>
      </c>
      <c r="G679" s="133">
        <f ca="1">IFERROR(__xludf.DUMMYFUNCTION("""COMPUTED_VALUE"""),0.05)</f>
        <v>0.05</v>
      </c>
      <c r="H679" s="133"/>
      <c r="I679" s="134">
        <f ca="1">IFERROR(__xludf.DUMMYFUNCTION("""COMPUTED_VALUE"""),2200000)</f>
        <v>2200000</v>
      </c>
    </row>
    <row r="680" spans="2:9" x14ac:dyDescent="0.3">
      <c r="B680" s="130" t="str">
        <f ca="1">IFERROR(__xludf.DUMMYFUNCTION("""COMPUTED_VALUE"""),"Круг")</f>
        <v>Круг</v>
      </c>
      <c r="C680" s="125" t="str">
        <f ca="1">IFERROR(__xludf.DUMMYFUNCTION("""COMPUTED_VALUE"""),"25Х17Н2Б-ш")</f>
        <v>25Х17Н2Б-ш</v>
      </c>
      <c r="D680" s="131">
        <f ca="1">IFERROR(__xludf.DUMMYFUNCTION("""COMPUTED_VALUE"""),10)</f>
        <v>10</v>
      </c>
      <c r="E680" s="131"/>
      <c r="F680" s="132" t="str">
        <f ca="1">IFERROR(__xludf.DUMMYFUNCTION("""COMPUTED_VALUE"""),"2590/14-1-1062-2021,3ГП, УЗК ,РТТ")</f>
        <v>2590/14-1-1062-2021,3ГП, УЗК ,РТТ</v>
      </c>
      <c r="G680" s="133">
        <f ca="1">IFERROR(__xludf.DUMMYFUNCTION("""COMPUTED_VALUE"""),0.5)</f>
        <v>0.5</v>
      </c>
      <c r="H680" s="133"/>
      <c r="I680" s="134">
        <f ca="1">IFERROR(__xludf.DUMMYFUNCTION("""COMPUTED_VALUE"""),2200000)</f>
        <v>2200000</v>
      </c>
    </row>
    <row r="681" spans="2:9" x14ac:dyDescent="0.3">
      <c r="B681" s="130" t="str">
        <f ca="1">IFERROR(__xludf.DUMMYFUNCTION("""COMPUTED_VALUE"""),"Круг")</f>
        <v>Круг</v>
      </c>
      <c r="C681" s="125" t="str">
        <f ca="1">IFERROR(__xludf.DUMMYFUNCTION("""COMPUTED_VALUE"""),"25Х17Н2Б-ш")</f>
        <v>25Х17Н2Б-ш</v>
      </c>
      <c r="D681" s="131">
        <f ca="1">IFERROR(__xludf.DUMMYFUNCTION("""COMPUTED_VALUE"""),12)</f>
        <v>12</v>
      </c>
      <c r="E681" s="131"/>
      <c r="F681" s="132" t="str">
        <f ca="1">IFERROR(__xludf.DUMMYFUNCTION("""COMPUTED_VALUE"""),"2590/14-1-1062-2021,3ГП, УЗК ,РТТ")</f>
        <v>2590/14-1-1062-2021,3ГП, УЗК ,РТТ</v>
      </c>
      <c r="G681" s="133">
        <f ca="1">IFERROR(__xludf.DUMMYFUNCTION("""COMPUTED_VALUE"""),1.07599999999999)</f>
        <v>1.0759999999999901</v>
      </c>
      <c r="H681" s="133"/>
      <c r="I681" s="134">
        <f ca="1">IFERROR(__xludf.DUMMYFUNCTION("""COMPUTED_VALUE"""),2200000)</f>
        <v>2200000</v>
      </c>
    </row>
    <row r="682" spans="2:9" x14ac:dyDescent="0.3">
      <c r="B682" s="130" t="str">
        <f ca="1">IFERROR(__xludf.DUMMYFUNCTION("""COMPUTED_VALUE"""),"Круг")</f>
        <v>Круг</v>
      </c>
      <c r="C682" s="125" t="str">
        <f ca="1">IFERROR(__xludf.DUMMYFUNCTION("""COMPUTED_VALUE"""),"25Х17Н2Б-ш")</f>
        <v>25Х17Н2Б-ш</v>
      </c>
      <c r="D682" s="131">
        <f ca="1">IFERROR(__xludf.DUMMYFUNCTION("""COMPUTED_VALUE"""),14)</f>
        <v>14</v>
      </c>
      <c r="E682" s="131"/>
      <c r="F682" s="132" t="str">
        <f ca="1">IFERROR(__xludf.DUMMYFUNCTION("""COMPUTED_VALUE"""),"2590/14-1-1062-2021,3ГП, УЗК ,РТТ")</f>
        <v>2590/14-1-1062-2021,3ГП, УЗК ,РТТ</v>
      </c>
      <c r="G682" s="133">
        <f ca="1">IFERROR(__xludf.DUMMYFUNCTION("""COMPUTED_VALUE"""),0.286999999999999)</f>
        <v>0.28699999999999898</v>
      </c>
      <c r="H682" s="133"/>
      <c r="I682" s="134">
        <f ca="1">IFERROR(__xludf.DUMMYFUNCTION("""COMPUTED_VALUE"""),2200000)</f>
        <v>2200000</v>
      </c>
    </row>
    <row r="683" spans="2:9" x14ac:dyDescent="0.3">
      <c r="B683" s="130" t="str">
        <f ca="1">IFERROR(__xludf.DUMMYFUNCTION("""COMPUTED_VALUE"""),"Круг")</f>
        <v>Круг</v>
      </c>
      <c r="C683" s="125" t="str">
        <f ca="1">IFERROR(__xludf.DUMMYFUNCTION("""COMPUTED_VALUE"""),"25Х17Н2Б-ш")</f>
        <v>25Х17Н2Б-ш</v>
      </c>
      <c r="D683" s="131">
        <f ca="1">IFERROR(__xludf.DUMMYFUNCTION("""COMPUTED_VALUE"""),16)</f>
        <v>16</v>
      </c>
      <c r="E683" s="131"/>
      <c r="F683" s="132" t="str">
        <f ca="1">IFERROR(__xludf.DUMMYFUNCTION("""COMPUTED_VALUE"""),"2590/14-1-1062-2021,3ГП, УЗК ,РТТ")</f>
        <v>2590/14-1-1062-2021,3ГП, УЗК ,РТТ</v>
      </c>
      <c r="G683" s="133">
        <f ca="1">IFERROR(__xludf.DUMMYFUNCTION("""COMPUTED_VALUE"""),0.484)</f>
        <v>0.48399999999999999</v>
      </c>
      <c r="H683" s="133"/>
      <c r="I683" s="134">
        <f ca="1">IFERROR(__xludf.DUMMYFUNCTION("""COMPUTED_VALUE"""),2200000)</f>
        <v>2200000</v>
      </c>
    </row>
    <row r="684" spans="2:9" x14ac:dyDescent="0.3">
      <c r="B684" s="130" t="str">
        <f ca="1">IFERROR(__xludf.DUMMYFUNCTION("""COMPUTED_VALUE"""),"Круг")</f>
        <v>Круг</v>
      </c>
      <c r="C684" s="125" t="str">
        <f ca="1">IFERROR(__xludf.DUMMYFUNCTION("""COMPUTED_VALUE"""),"25Х17Н2Б-ш")</f>
        <v>25Х17Н2Б-ш</v>
      </c>
      <c r="D684" s="131">
        <f ca="1">IFERROR(__xludf.DUMMYFUNCTION("""COMPUTED_VALUE"""),18)</f>
        <v>18</v>
      </c>
      <c r="E684" s="131"/>
      <c r="F684" s="132" t="str">
        <f ca="1">IFERROR(__xludf.DUMMYFUNCTION("""COMPUTED_VALUE"""),"2590/14-1-1062-2021,3ГП, УЗК ,РТТ")</f>
        <v>2590/14-1-1062-2021,3ГП, УЗК ,РТТ</v>
      </c>
      <c r="G684" s="133">
        <f ca="1">IFERROR(__xludf.DUMMYFUNCTION("""COMPUTED_VALUE"""),1.264)</f>
        <v>1.264</v>
      </c>
      <c r="H684" s="133"/>
      <c r="I684" s="134">
        <f ca="1">IFERROR(__xludf.DUMMYFUNCTION("""COMPUTED_VALUE"""),2200000)</f>
        <v>2200000</v>
      </c>
    </row>
    <row r="685" spans="2:9" x14ac:dyDescent="0.3">
      <c r="B685" s="130" t="str">
        <f ca="1">IFERROR(__xludf.DUMMYFUNCTION("""COMPUTED_VALUE"""),"Круг")</f>
        <v>Круг</v>
      </c>
      <c r="C685" s="125" t="str">
        <f ca="1">IFERROR(__xludf.DUMMYFUNCTION("""COMPUTED_VALUE"""),"25Х17Н2Б-ш")</f>
        <v>25Х17Н2Б-ш</v>
      </c>
      <c r="D685" s="131">
        <f ca="1">IFERROR(__xludf.DUMMYFUNCTION("""COMPUTED_VALUE"""),20)</f>
        <v>20</v>
      </c>
      <c r="E685" s="131"/>
      <c r="F685" s="132" t="str">
        <f ca="1">IFERROR(__xludf.DUMMYFUNCTION("""COMPUTED_VALUE"""),"2590/14-1-1062-2021,3ГП, УЗК ,РТТ")</f>
        <v>2590/14-1-1062-2021,3ГП, УЗК ,РТТ</v>
      </c>
      <c r="G685" s="133">
        <f ca="1">IFERROR(__xludf.DUMMYFUNCTION("""COMPUTED_VALUE"""),1.07399999999999)</f>
        <v>1.0739999999999901</v>
      </c>
      <c r="H685" s="133"/>
      <c r="I685" s="134">
        <f ca="1">IFERROR(__xludf.DUMMYFUNCTION("""COMPUTED_VALUE"""),2200000)</f>
        <v>2200000</v>
      </c>
    </row>
    <row r="686" spans="2:9" x14ac:dyDescent="0.3">
      <c r="B686" s="130" t="str">
        <f ca="1">IFERROR(__xludf.DUMMYFUNCTION("""COMPUTED_VALUE"""),"Круг")</f>
        <v>Круг</v>
      </c>
      <c r="C686" s="125" t="str">
        <f ca="1">IFERROR(__xludf.DUMMYFUNCTION("""COMPUTED_VALUE"""),"25Х17Н2Б-ш")</f>
        <v>25Х17Н2Б-ш</v>
      </c>
      <c r="D686" s="131">
        <f ca="1">IFERROR(__xludf.DUMMYFUNCTION("""COMPUTED_VALUE"""),20)</f>
        <v>20</v>
      </c>
      <c r="E686" s="131"/>
      <c r="F686" s="132" t="str">
        <f ca="1">IFERROR(__xludf.DUMMYFUNCTION("""COMPUTED_VALUE"""),"2590/14-1-1062-2021,3ГП, УЗК ,РТТ")</f>
        <v>2590/14-1-1062-2021,3ГП, УЗК ,РТТ</v>
      </c>
      <c r="G686" s="133">
        <f ca="1">IFERROR(__xludf.DUMMYFUNCTION("""COMPUTED_VALUE"""),0.63)</f>
        <v>0.63</v>
      </c>
      <c r="H686" s="133"/>
      <c r="I686" s="134">
        <f ca="1">IFERROR(__xludf.DUMMYFUNCTION("""COMPUTED_VALUE"""),2200000)</f>
        <v>2200000</v>
      </c>
    </row>
    <row r="687" spans="2:9" x14ac:dyDescent="0.3">
      <c r="B687" s="130" t="str">
        <f ca="1">IFERROR(__xludf.DUMMYFUNCTION("""COMPUTED_VALUE"""),"Круг")</f>
        <v>Круг</v>
      </c>
      <c r="C687" s="125" t="str">
        <f ca="1">IFERROR(__xludf.DUMMYFUNCTION("""COMPUTED_VALUE"""),"25Х17Н2Б-ш")</f>
        <v>25Х17Н2Б-ш</v>
      </c>
      <c r="D687" s="131">
        <f ca="1">IFERROR(__xludf.DUMMYFUNCTION("""COMPUTED_VALUE"""),25)</f>
        <v>25</v>
      </c>
      <c r="E687" s="131"/>
      <c r="F687" s="132" t="str">
        <f ca="1">IFERROR(__xludf.DUMMYFUNCTION("""COMPUTED_VALUE"""),"2590/14-1-1062-2021,2ГП, УЗК ,РТТ")</f>
        <v>2590/14-1-1062-2021,2ГП, УЗК ,РТТ</v>
      </c>
      <c r="G687" s="133">
        <f ca="1">IFERROR(__xludf.DUMMYFUNCTION("""COMPUTED_VALUE"""),0.00199999999999997)</f>
        <v>1.9999999999999701E-3</v>
      </c>
      <c r="H687" s="133"/>
      <c r="I687" s="134">
        <f ca="1">IFERROR(__xludf.DUMMYFUNCTION("""COMPUTED_VALUE"""),2100000)</f>
        <v>2100000</v>
      </c>
    </row>
    <row r="688" spans="2:9" x14ac:dyDescent="0.3">
      <c r="B688" s="130" t="str">
        <f ca="1">IFERROR(__xludf.DUMMYFUNCTION("""COMPUTED_VALUE"""),"Круг")</f>
        <v>Круг</v>
      </c>
      <c r="C688" s="125" t="str">
        <f ca="1">IFERROR(__xludf.DUMMYFUNCTION("""COMPUTED_VALUE"""),"25Х17Н2Б-ш")</f>
        <v>25Х17Н2Б-ш</v>
      </c>
      <c r="D688" s="131">
        <f ca="1">IFERROR(__xludf.DUMMYFUNCTION("""COMPUTED_VALUE"""),25)</f>
        <v>25</v>
      </c>
      <c r="E688" s="131"/>
      <c r="F688" s="132" t="str">
        <f ca="1">IFERROR(__xludf.DUMMYFUNCTION("""COMPUTED_VALUE"""),"2590/14-1-1062-2021,3ГП, УЗК ,РТТ")</f>
        <v>2590/14-1-1062-2021,3ГП, УЗК ,РТТ</v>
      </c>
      <c r="G688" s="133">
        <f ca="1">IFERROR(__xludf.DUMMYFUNCTION("""COMPUTED_VALUE"""),0.629)</f>
        <v>0.629</v>
      </c>
      <c r="H688" s="133"/>
      <c r="I688" s="134">
        <f ca="1">IFERROR(__xludf.DUMMYFUNCTION("""COMPUTED_VALUE"""),2100000)</f>
        <v>2100000</v>
      </c>
    </row>
    <row r="689" spans="2:9" x14ac:dyDescent="0.3">
      <c r="B689" s="130" t="str">
        <f ca="1">IFERROR(__xludf.DUMMYFUNCTION("""COMPUTED_VALUE"""),"Круг")</f>
        <v>Круг</v>
      </c>
      <c r="C689" s="125" t="str">
        <f ca="1">IFERROR(__xludf.DUMMYFUNCTION("""COMPUTED_VALUE"""),"25Х17Н2Б-ш")</f>
        <v>25Х17Н2Б-ш</v>
      </c>
      <c r="D689" s="131">
        <f ca="1">IFERROR(__xludf.DUMMYFUNCTION("""COMPUTED_VALUE"""),25)</f>
        <v>25</v>
      </c>
      <c r="E689" s="131"/>
      <c r="F689" s="132" t="str">
        <f ca="1">IFERROR(__xludf.DUMMYFUNCTION("""COMPUTED_VALUE"""),"2590/14-1-1062-2021,3ГП, УЗК ,РТТ")</f>
        <v>2590/14-1-1062-2021,3ГП, УЗК ,РТТ</v>
      </c>
      <c r="G689" s="133">
        <f ca="1">IFERROR(__xludf.DUMMYFUNCTION("""COMPUTED_VALUE"""),0.189999999999999)</f>
        <v>0.189999999999999</v>
      </c>
      <c r="H689" s="133"/>
      <c r="I689" s="134">
        <f ca="1">IFERROR(__xludf.DUMMYFUNCTION("""COMPUTED_VALUE"""),2100000)</f>
        <v>2100000</v>
      </c>
    </row>
    <row r="690" spans="2:9" x14ac:dyDescent="0.3">
      <c r="B690" s="130" t="str">
        <f ca="1">IFERROR(__xludf.DUMMYFUNCTION("""COMPUTED_VALUE"""),"Круг")</f>
        <v>Круг</v>
      </c>
      <c r="C690" s="125" t="str">
        <f ca="1">IFERROR(__xludf.DUMMYFUNCTION("""COMPUTED_VALUE"""),"25Х17Н2Б-ш")</f>
        <v>25Х17Н2Б-ш</v>
      </c>
      <c r="D690" s="131">
        <f ca="1">IFERROR(__xludf.DUMMYFUNCTION("""COMPUTED_VALUE"""),28)</f>
        <v>28</v>
      </c>
      <c r="E690" s="131"/>
      <c r="F690" s="132" t="str">
        <f ca="1">IFERROR(__xludf.DUMMYFUNCTION("""COMPUTED_VALUE"""),"2590/14-1-1062-2021,3ГП, УЗК ,РТТ")</f>
        <v>2590/14-1-1062-2021,3ГП, УЗК ,РТТ</v>
      </c>
      <c r="G690" s="133">
        <f ca="1">IFERROR(__xludf.DUMMYFUNCTION("""COMPUTED_VALUE"""),0.32)</f>
        <v>0.32</v>
      </c>
      <c r="H690" s="133"/>
      <c r="I690" s="134">
        <f ca="1">IFERROR(__xludf.DUMMYFUNCTION("""COMPUTED_VALUE"""),2100000)</f>
        <v>2100000</v>
      </c>
    </row>
    <row r="691" spans="2:9" x14ac:dyDescent="0.3">
      <c r="B691" s="130" t="str">
        <f ca="1">IFERROR(__xludf.DUMMYFUNCTION("""COMPUTED_VALUE"""),"Круг")</f>
        <v>Круг</v>
      </c>
      <c r="C691" s="125" t="str">
        <f ca="1">IFERROR(__xludf.DUMMYFUNCTION("""COMPUTED_VALUE"""),"25Х17Н2Б-ш")</f>
        <v>25Х17Н2Б-ш</v>
      </c>
      <c r="D691" s="131">
        <f ca="1">IFERROR(__xludf.DUMMYFUNCTION("""COMPUTED_VALUE"""),28)</f>
        <v>28</v>
      </c>
      <c r="E691" s="131"/>
      <c r="F691" s="132" t="str">
        <f ca="1">IFERROR(__xludf.DUMMYFUNCTION("""COMPUTED_VALUE"""),"2590/14-1-1062-2021,2ГП, УЗК ,РТТ")</f>
        <v>2590/14-1-1062-2021,2ГП, УЗК ,РТТ</v>
      </c>
      <c r="G691" s="133">
        <f ca="1">IFERROR(__xludf.DUMMYFUNCTION("""COMPUTED_VALUE"""),0.134)</f>
        <v>0.13400000000000001</v>
      </c>
      <c r="H691" s="133"/>
      <c r="I691" s="134">
        <f ca="1">IFERROR(__xludf.DUMMYFUNCTION("""COMPUTED_VALUE"""),2100000)</f>
        <v>2100000</v>
      </c>
    </row>
    <row r="692" spans="2:9" x14ac:dyDescent="0.3">
      <c r="B692" s="130" t="str">
        <f ca="1">IFERROR(__xludf.DUMMYFUNCTION("""COMPUTED_VALUE"""),"Круг")</f>
        <v>Круг</v>
      </c>
      <c r="C692" s="125" t="str">
        <f ca="1">IFERROR(__xludf.DUMMYFUNCTION("""COMPUTED_VALUE"""),"25Х17Н2Б-ш")</f>
        <v>25Х17Н2Б-ш</v>
      </c>
      <c r="D692" s="131">
        <f ca="1">IFERROR(__xludf.DUMMYFUNCTION("""COMPUTED_VALUE"""),28)</f>
        <v>28</v>
      </c>
      <c r="E692" s="131"/>
      <c r="F692" s="132" t="str">
        <f ca="1">IFERROR(__xludf.DUMMYFUNCTION("""COMPUTED_VALUE"""),"2590/14-1-1062-2021,3ГП, УЗК ,РТТ")</f>
        <v>2590/14-1-1062-2021,3ГП, УЗК ,РТТ</v>
      </c>
      <c r="G692" s="133">
        <f ca="1">IFERROR(__xludf.DUMMYFUNCTION("""COMPUTED_VALUE"""),1.22)</f>
        <v>1.22</v>
      </c>
      <c r="H692" s="133"/>
      <c r="I692" s="134">
        <f ca="1">IFERROR(__xludf.DUMMYFUNCTION("""COMPUTED_VALUE"""),2100000)</f>
        <v>2100000</v>
      </c>
    </row>
    <row r="693" spans="2:9" x14ac:dyDescent="0.3">
      <c r="B693" s="130" t="str">
        <f ca="1">IFERROR(__xludf.DUMMYFUNCTION("""COMPUTED_VALUE"""),"Круг")</f>
        <v>Круг</v>
      </c>
      <c r="C693" s="125" t="str">
        <f ca="1">IFERROR(__xludf.DUMMYFUNCTION("""COMPUTED_VALUE"""),"25Х17Н2Б-ш")</f>
        <v>25Х17Н2Б-ш</v>
      </c>
      <c r="D693" s="131">
        <f ca="1">IFERROR(__xludf.DUMMYFUNCTION("""COMPUTED_VALUE"""),30)</f>
        <v>30</v>
      </c>
      <c r="E693" s="131"/>
      <c r="F693" s="132" t="str">
        <f ca="1">IFERROR(__xludf.DUMMYFUNCTION("""COMPUTED_VALUE"""),"2590/14-1-1062-2021,2ГП, УЗК ,РТТ")</f>
        <v>2590/14-1-1062-2021,2ГП, УЗК ,РТТ</v>
      </c>
      <c r="G693" s="133">
        <f ca="1">IFERROR(__xludf.DUMMYFUNCTION("""COMPUTED_VALUE"""),0.88)</f>
        <v>0.88</v>
      </c>
      <c r="H693" s="133"/>
      <c r="I693" s="134">
        <f ca="1">IFERROR(__xludf.DUMMYFUNCTION("""COMPUTED_VALUE"""),2100000)</f>
        <v>2100000</v>
      </c>
    </row>
    <row r="694" spans="2:9" x14ac:dyDescent="0.3">
      <c r="B694" s="130" t="str">
        <f ca="1">IFERROR(__xludf.DUMMYFUNCTION("""COMPUTED_VALUE"""),"Круг")</f>
        <v>Круг</v>
      </c>
      <c r="C694" s="125" t="str">
        <f ca="1">IFERROR(__xludf.DUMMYFUNCTION("""COMPUTED_VALUE"""),"25Х17Н2Б-ш")</f>
        <v>25Х17Н2Б-ш</v>
      </c>
      <c r="D694" s="131">
        <f ca="1">IFERROR(__xludf.DUMMYFUNCTION("""COMPUTED_VALUE"""),30)</f>
        <v>30</v>
      </c>
      <c r="E694" s="131"/>
      <c r="F694" s="132" t="str">
        <f ca="1">IFERROR(__xludf.DUMMYFUNCTION("""COMPUTED_VALUE"""),"2590/14-1-1062-2021,2ГП, УЗК ,РТТ")</f>
        <v>2590/14-1-1062-2021,2ГП, УЗК ,РТТ</v>
      </c>
      <c r="G694" s="133">
        <f ca="1">IFERROR(__xludf.DUMMYFUNCTION("""COMPUTED_VALUE"""),1.3)</f>
        <v>1.3</v>
      </c>
      <c r="H694" s="133"/>
      <c r="I694" s="134">
        <f ca="1">IFERROR(__xludf.DUMMYFUNCTION("""COMPUTED_VALUE"""),2100000)</f>
        <v>2100000</v>
      </c>
    </row>
    <row r="695" spans="2:9" x14ac:dyDescent="0.3">
      <c r="B695" s="130" t="str">
        <f ca="1">IFERROR(__xludf.DUMMYFUNCTION("""COMPUTED_VALUE"""),"Круг")</f>
        <v>Круг</v>
      </c>
      <c r="C695" s="125" t="str">
        <f ca="1">IFERROR(__xludf.DUMMYFUNCTION("""COMPUTED_VALUE"""),"25Х17Н2Б-ш")</f>
        <v>25Х17Н2Б-ш</v>
      </c>
      <c r="D695" s="131">
        <f ca="1">IFERROR(__xludf.DUMMYFUNCTION("""COMPUTED_VALUE"""),32)</f>
        <v>32</v>
      </c>
      <c r="E695" s="131"/>
      <c r="F695" s="132" t="str">
        <f ca="1">IFERROR(__xludf.DUMMYFUNCTION("""COMPUTED_VALUE"""),"2590/14-1-1062-2021,2ГП, УЗК ,РТТ")</f>
        <v>2590/14-1-1062-2021,2ГП, УЗК ,РТТ</v>
      </c>
      <c r="G695" s="133">
        <f ca="1">IFERROR(__xludf.DUMMYFUNCTION("""COMPUTED_VALUE"""),0.214)</f>
        <v>0.214</v>
      </c>
      <c r="H695" s="133"/>
      <c r="I695" s="134">
        <f ca="1">IFERROR(__xludf.DUMMYFUNCTION("""COMPUTED_VALUE"""),2100000)</f>
        <v>2100000</v>
      </c>
    </row>
    <row r="696" spans="2:9" x14ac:dyDescent="0.3">
      <c r="B696" s="130" t="str">
        <f ca="1">IFERROR(__xludf.DUMMYFUNCTION("""COMPUTED_VALUE"""),"Круг")</f>
        <v>Круг</v>
      </c>
      <c r="C696" s="125" t="str">
        <f ca="1">IFERROR(__xludf.DUMMYFUNCTION("""COMPUTED_VALUE"""),"25Х17Н2Б-ш")</f>
        <v>25Х17Н2Б-ш</v>
      </c>
      <c r="D696" s="131">
        <f ca="1">IFERROR(__xludf.DUMMYFUNCTION("""COMPUTED_VALUE"""),32)</f>
        <v>32</v>
      </c>
      <c r="E696" s="131"/>
      <c r="F696" s="132" t="str">
        <f ca="1">IFERROR(__xludf.DUMMYFUNCTION("""COMPUTED_VALUE"""),"2590/14-1-1062-2021,2ГП, УЗК ,РТТ")</f>
        <v>2590/14-1-1062-2021,2ГП, УЗК ,РТТ</v>
      </c>
      <c r="G696" s="133">
        <f ca="1">IFERROR(__xludf.DUMMYFUNCTION("""COMPUTED_VALUE"""),0.54)</f>
        <v>0.54</v>
      </c>
      <c r="H696" s="133"/>
      <c r="I696" s="134">
        <f ca="1">IFERROR(__xludf.DUMMYFUNCTION("""COMPUTED_VALUE"""),2100000)</f>
        <v>2100000</v>
      </c>
    </row>
    <row r="697" spans="2:9" x14ac:dyDescent="0.3">
      <c r="B697" s="130" t="str">
        <f ca="1">IFERROR(__xludf.DUMMYFUNCTION("""COMPUTED_VALUE"""),"Круг")</f>
        <v>Круг</v>
      </c>
      <c r="C697" s="125" t="str">
        <f ca="1">IFERROR(__xludf.DUMMYFUNCTION("""COMPUTED_VALUE"""),"25Х17Н2Б-ш")</f>
        <v>25Х17Н2Б-ш</v>
      </c>
      <c r="D697" s="131">
        <f ca="1">IFERROR(__xludf.DUMMYFUNCTION("""COMPUTED_VALUE"""),32)</f>
        <v>32</v>
      </c>
      <c r="E697" s="131"/>
      <c r="F697" s="132" t="str">
        <f ca="1">IFERROR(__xludf.DUMMYFUNCTION("""COMPUTED_VALUE"""),"2590/14-1-1062-2021,2ГП, УЗК ,РТТ")</f>
        <v>2590/14-1-1062-2021,2ГП, УЗК ,РТТ</v>
      </c>
      <c r="G697" s="133">
        <f ca="1">IFERROR(__xludf.DUMMYFUNCTION("""COMPUTED_VALUE"""),0.179999999999999)</f>
        <v>0.17999999999999899</v>
      </c>
      <c r="H697" s="133"/>
      <c r="I697" s="134">
        <f ca="1">IFERROR(__xludf.DUMMYFUNCTION("""COMPUTED_VALUE"""),2100000)</f>
        <v>2100000</v>
      </c>
    </row>
    <row r="698" spans="2:9" x14ac:dyDescent="0.3">
      <c r="B698" s="130" t="str">
        <f ca="1">IFERROR(__xludf.DUMMYFUNCTION("""COMPUTED_VALUE"""),"Круг")</f>
        <v>Круг</v>
      </c>
      <c r="C698" s="125" t="str">
        <f ca="1">IFERROR(__xludf.DUMMYFUNCTION("""COMPUTED_VALUE"""),"25Х17Н2Б-ш")</f>
        <v>25Х17Н2Б-ш</v>
      </c>
      <c r="D698" s="131">
        <f ca="1">IFERROR(__xludf.DUMMYFUNCTION("""COMPUTED_VALUE"""),36)</f>
        <v>36</v>
      </c>
      <c r="E698" s="131"/>
      <c r="F698" s="132" t="str">
        <f ca="1">IFERROR(__xludf.DUMMYFUNCTION("""COMPUTED_VALUE"""),"2590/14-1-1062-2021,2ГП, УЗК ,РТТ")</f>
        <v>2590/14-1-1062-2021,2ГП, УЗК ,РТТ</v>
      </c>
      <c r="G698" s="133">
        <f ca="1">IFERROR(__xludf.DUMMYFUNCTION("""COMPUTED_VALUE"""),0.088)</f>
        <v>8.7999999999999995E-2</v>
      </c>
      <c r="H698" s="133"/>
      <c r="I698" s="134">
        <f ca="1">IFERROR(__xludf.DUMMYFUNCTION("""COMPUTED_VALUE"""),2100000)</f>
        <v>2100000</v>
      </c>
    </row>
    <row r="699" spans="2:9" x14ac:dyDescent="0.3">
      <c r="B699" s="130" t="str">
        <f ca="1">IFERROR(__xludf.DUMMYFUNCTION("""COMPUTED_VALUE"""),"Круг")</f>
        <v>Круг</v>
      </c>
      <c r="C699" s="125" t="str">
        <f ca="1">IFERROR(__xludf.DUMMYFUNCTION("""COMPUTED_VALUE"""),"25Х17Н2Б-ш")</f>
        <v>25Х17Н2Б-ш</v>
      </c>
      <c r="D699" s="131">
        <f ca="1">IFERROR(__xludf.DUMMYFUNCTION("""COMPUTED_VALUE"""),36)</f>
        <v>36</v>
      </c>
      <c r="E699" s="131"/>
      <c r="F699" s="132" t="str">
        <f ca="1">IFERROR(__xludf.DUMMYFUNCTION("""COMPUTED_VALUE"""),"2590/14-1-1062-2021,2ГП, УЗК ,РТТ")</f>
        <v>2590/14-1-1062-2021,2ГП, УЗК ,РТТ</v>
      </c>
      <c r="G699" s="133">
        <f ca="1">IFERROR(__xludf.DUMMYFUNCTION("""COMPUTED_VALUE"""),2.25)</f>
        <v>2.25</v>
      </c>
      <c r="H699" s="133"/>
      <c r="I699" s="134">
        <f ca="1">IFERROR(__xludf.DUMMYFUNCTION("""COMPUTED_VALUE"""),2100000)</f>
        <v>2100000</v>
      </c>
    </row>
    <row r="700" spans="2:9" x14ac:dyDescent="0.3">
      <c r="B700" s="130" t="str">
        <f ca="1">IFERROR(__xludf.DUMMYFUNCTION("""COMPUTED_VALUE"""),"Круг")</f>
        <v>Круг</v>
      </c>
      <c r="C700" s="125" t="str">
        <f ca="1">IFERROR(__xludf.DUMMYFUNCTION("""COMPUTED_VALUE"""),"25Х17Н2Б-ш")</f>
        <v>25Х17Н2Б-ш</v>
      </c>
      <c r="D700" s="131">
        <f ca="1">IFERROR(__xludf.DUMMYFUNCTION("""COMPUTED_VALUE"""),36)</f>
        <v>36</v>
      </c>
      <c r="E700" s="131"/>
      <c r="F700" s="132" t="str">
        <f ca="1">IFERROR(__xludf.DUMMYFUNCTION("""COMPUTED_VALUE"""),"2590/14-1-1062-2021,2ГП, УЗК ,РТТ")</f>
        <v>2590/14-1-1062-2021,2ГП, УЗК ,РТТ</v>
      </c>
      <c r="G700" s="133">
        <f ca="1">IFERROR(__xludf.DUMMYFUNCTION("""COMPUTED_VALUE"""),0.21)</f>
        <v>0.21</v>
      </c>
      <c r="H700" s="133"/>
      <c r="I700" s="134">
        <f ca="1">IFERROR(__xludf.DUMMYFUNCTION("""COMPUTED_VALUE"""),2100000)</f>
        <v>2100000</v>
      </c>
    </row>
    <row r="701" spans="2:9" x14ac:dyDescent="0.3">
      <c r="B701" s="130" t="str">
        <f ca="1">IFERROR(__xludf.DUMMYFUNCTION("""COMPUTED_VALUE"""),"Круг")</f>
        <v>Круг</v>
      </c>
      <c r="C701" s="125" t="str">
        <f ca="1">IFERROR(__xludf.DUMMYFUNCTION("""COMPUTED_VALUE"""),"25Х17Н2Б-ш")</f>
        <v>25Х17Н2Б-ш</v>
      </c>
      <c r="D701" s="131">
        <f ca="1">IFERROR(__xludf.DUMMYFUNCTION("""COMPUTED_VALUE"""),36)</f>
        <v>36</v>
      </c>
      <c r="E701" s="131"/>
      <c r="F701" s="132" t="str">
        <f ca="1">IFERROR(__xludf.DUMMYFUNCTION("""COMPUTED_VALUE"""),"2590/14-1-1062-2021,2ГП, УЗК ,РТТ")</f>
        <v>2590/14-1-1062-2021,2ГП, УЗК ,РТТ</v>
      </c>
      <c r="G701" s="133">
        <f ca="1">IFERROR(__xludf.DUMMYFUNCTION("""COMPUTED_VALUE"""),0.34)</f>
        <v>0.34</v>
      </c>
      <c r="H701" s="133"/>
      <c r="I701" s="134">
        <f ca="1">IFERROR(__xludf.DUMMYFUNCTION("""COMPUTED_VALUE"""),2100000)</f>
        <v>2100000</v>
      </c>
    </row>
    <row r="702" spans="2:9" x14ac:dyDescent="0.3">
      <c r="B702" s="130" t="str">
        <f ca="1">IFERROR(__xludf.DUMMYFUNCTION("""COMPUTED_VALUE"""),"Круг")</f>
        <v>Круг</v>
      </c>
      <c r="C702" s="125" t="str">
        <f ca="1">IFERROR(__xludf.DUMMYFUNCTION("""COMPUTED_VALUE"""),"25Х17Н2Б-ш")</f>
        <v>25Х17Н2Б-ш</v>
      </c>
      <c r="D702" s="131">
        <f ca="1">IFERROR(__xludf.DUMMYFUNCTION("""COMPUTED_VALUE"""),36)</f>
        <v>36</v>
      </c>
      <c r="E702" s="131"/>
      <c r="F702" s="132" t="str">
        <f ca="1">IFERROR(__xludf.DUMMYFUNCTION("""COMPUTED_VALUE"""),"2590/14-1-1062-2021,2ГП, УЗК ,РТТ")</f>
        <v>2590/14-1-1062-2021,2ГП, УЗК ,РТТ</v>
      </c>
      <c r="G702" s="133">
        <f ca="1">IFERROR(__xludf.DUMMYFUNCTION("""COMPUTED_VALUE"""),0.525)</f>
        <v>0.52500000000000002</v>
      </c>
      <c r="H702" s="133"/>
      <c r="I702" s="134">
        <f ca="1">IFERROR(__xludf.DUMMYFUNCTION("""COMPUTED_VALUE"""),2100000)</f>
        <v>2100000</v>
      </c>
    </row>
    <row r="703" spans="2:9" x14ac:dyDescent="0.3">
      <c r="B703" s="130" t="str">
        <f ca="1">IFERROR(__xludf.DUMMYFUNCTION("""COMPUTED_VALUE"""),"Круг")</f>
        <v>Круг</v>
      </c>
      <c r="C703" s="125" t="str">
        <f ca="1">IFERROR(__xludf.DUMMYFUNCTION("""COMPUTED_VALUE"""),"25Х17Н2Б-ш")</f>
        <v>25Х17Н2Б-ш</v>
      </c>
      <c r="D703" s="131">
        <f ca="1">IFERROR(__xludf.DUMMYFUNCTION("""COMPUTED_VALUE"""),36)</f>
        <v>36</v>
      </c>
      <c r="E703" s="131"/>
      <c r="F703" s="132" t="str">
        <f ca="1">IFERROR(__xludf.DUMMYFUNCTION("""COMPUTED_VALUE"""),"2590/14-1-1062-2021,2ГП, УЗК ,РТТ")</f>
        <v>2590/14-1-1062-2021,2ГП, УЗК ,РТТ</v>
      </c>
      <c r="G703" s="133">
        <f ca="1">IFERROR(__xludf.DUMMYFUNCTION("""COMPUTED_VALUE"""),0.525)</f>
        <v>0.52500000000000002</v>
      </c>
      <c r="H703" s="133"/>
      <c r="I703" s="134">
        <f ca="1">IFERROR(__xludf.DUMMYFUNCTION("""COMPUTED_VALUE"""),2100000)</f>
        <v>2100000</v>
      </c>
    </row>
    <row r="704" spans="2:9" x14ac:dyDescent="0.3">
      <c r="B704" s="130" t="str">
        <f ca="1">IFERROR(__xludf.DUMMYFUNCTION("""COMPUTED_VALUE"""),"Круг")</f>
        <v>Круг</v>
      </c>
      <c r="C704" s="125" t="str">
        <f ca="1">IFERROR(__xludf.DUMMYFUNCTION("""COMPUTED_VALUE"""),"25Х17Н2Б-ш")</f>
        <v>25Х17Н2Б-ш</v>
      </c>
      <c r="D704" s="131">
        <f ca="1">IFERROR(__xludf.DUMMYFUNCTION("""COMPUTED_VALUE"""),40)</f>
        <v>40</v>
      </c>
      <c r="E704" s="131"/>
      <c r="F704" s="132" t="str">
        <f ca="1">IFERROR(__xludf.DUMMYFUNCTION("""COMPUTED_VALUE"""),"2590/14-1-1062-2021,2ГП, УЗК ,РТТ")</f>
        <v>2590/14-1-1062-2021,2ГП, УЗК ,РТТ</v>
      </c>
      <c r="G704" s="133">
        <f ca="1">IFERROR(__xludf.DUMMYFUNCTION("""COMPUTED_VALUE"""),0.575)</f>
        <v>0.57499999999999996</v>
      </c>
      <c r="H704" s="133"/>
      <c r="I704" s="134">
        <f ca="1">IFERROR(__xludf.DUMMYFUNCTION("""COMPUTED_VALUE"""),2100000)</f>
        <v>2100000</v>
      </c>
    </row>
    <row r="705" spans="2:9" x14ac:dyDescent="0.3">
      <c r="B705" s="130" t="str">
        <f ca="1">IFERROR(__xludf.DUMMYFUNCTION("""COMPUTED_VALUE"""),"Круг")</f>
        <v>Круг</v>
      </c>
      <c r="C705" s="125" t="str">
        <f ca="1">IFERROR(__xludf.DUMMYFUNCTION("""COMPUTED_VALUE"""),"25Х17Н2Б-ш")</f>
        <v>25Х17Н2Б-ш</v>
      </c>
      <c r="D705" s="131">
        <f ca="1">IFERROR(__xludf.DUMMYFUNCTION("""COMPUTED_VALUE"""),40)</f>
        <v>40</v>
      </c>
      <c r="E705" s="131"/>
      <c r="F705" s="132" t="str">
        <f ca="1">IFERROR(__xludf.DUMMYFUNCTION("""COMPUTED_VALUE"""),"2590/14-1-1062-2021,2ГП, УЗК ,РТТ")</f>
        <v>2590/14-1-1062-2021,2ГП, УЗК ,РТТ</v>
      </c>
      <c r="G705" s="133">
        <f ca="1">IFERROR(__xludf.DUMMYFUNCTION("""COMPUTED_VALUE"""),2.22)</f>
        <v>2.2200000000000002</v>
      </c>
      <c r="H705" s="133"/>
      <c r="I705" s="134">
        <f ca="1">IFERROR(__xludf.DUMMYFUNCTION("""COMPUTED_VALUE"""),2100000)</f>
        <v>2100000</v>
      </c>
    </row>
    <row r="706" spans="2:9" x14ac:dyDescent="0.3">
      <c r="B706" s="130" t="str">
        <f ca="1">IFERROR(__xludf.DUMMYFUNCTION("""COMPUTED_VALUE"""),"Круг")</f>
        <v>Круг</v>
      </c>
      <c r="C706" s="125" t="str">
        <f ca="1">IFERROR(__xludf.DUMMYFUNCTION("""COMPUTED_VALUE"""),"25Х17Н2Б-ш")</f>
        <v>25Х17Н2Б-ш</v>
      </c>
      <c r="D706" s="131">
        <f ca="1">IFERROR(__xludf.DUMMYFUNCTION("""COMPUTED_VALUE"""),40)</f>
        <v>40</v>
      </c>
      <c r="E706" s="131"/>
      <c r="F706" s="132" t="str">
        <f ca="1">IFERROR(__xludf.DUMMYFUNCTION("""COMPUTED_VALUE"""),"2590/14-1-1062-2021,2ГП, УЗК ,РТТ")</f>
        <v>2590/14-1-1062-2021,2ГП, УЗК ,РТТ</v>
      </c>
      <c r="G706" s="133">
        <f ca="1">IFERROR(__xludf.DUMMYFUNCTION("""COMPUTED_VALUE"""),0.32)</f>
        <v>0.32</v>
      </c>
      <c r="H706" s="133"/>
      <c r="I706" s="134">
        <f ca="1">IFERROR(__xludf.DUMMYFUNCTION("""COMPUTED_VALUE"""),2100000)</f>
        <v>2100000</v>
      </c>
    </row>
    <row r="707" spans="2:9" x14ac:dyDescent="0.3">
      <c r="B707" s="130" t="str">
        <f ca="1">IFERROR(__xludf.DUMMYFUNCTION("""COMPUTED_VALUE"""),"Круг")</f>
        <v>Круг</v>
      </c>
      <c r="C707" s="125" t="str">
        <f ca="1">IFERROR(__xludf.DUMMYFUNCTION("""COMPUTED_VALUE"""),"25Х17Н2Б-ш")</f>
        <v>25Х17Н2Б-ш</v>
      </c>
      <c r="D707" s="131">
        <f ca="1">IFERROR(__xludf.DUMMYFUNCTION("""COMPUTED_VALUE"""),40)</f>
        <v>40</v>
      </c>
      <c r="E707" s="131"/>
      <c r="F707" s="132" t="str">
        <f ca="1">IFERROR(__xludf.DUMMYFUNCTION("""COMPUTED_VALUE"""),"2590/14-1-1062-2021,2ГП, УЗК ,РТТ")</f>
        <v>2590/14-1-1062-2021,2ГП, УЗК ,РТТ</v>
      </c>
      <c r="G707" s="133">
        <f ca="1">IFERROR(__xludf.DUMMYFUNCTION("""COMPUTED_VALUE"""),3)</f>
        <v>3</v>
      </c>
      <c r="H707" s="133"/>
      <c r="I707" s="134">
        <f ca="1">IFERROR(__xludf.DUMMYFUNCTION("""COMPUTED_VALUE"""),2100000)</f>
        <v>2100000</v>
      </c>
    </row>
    <row r="708" spans="2:9" x14ac:dyDescent="0.3">
      <c r="B708" s="130" t="str">
        <f ca="1">IFERROR(__xludf.DUMMYFUNCTION("""COMPUTED_VALUE"""),"Круг")</f>
        <v>Круг</v>
      </c>
      <c r="C708" s="125" t="str">
        <f ca="1">IFERROR(__xludf.DUMMYFUNCTION("""COMPUTED_VALUE"""),"25Х17Н2Б-ш")</f>
        <v>25Х17Н2Б-ш</v>
      </c>
      <c r="D708" s="131">
        <f ca="1">IFERROR(__xludf.DUMMYFUNCTION("""COMPUTED_VALUE"""),45)</f>
        <v>45</v>
      </c>
      <c r="E708" s="131"/>
      <c r="F708" s="132" t="str">
        <f ca="1">IFERROR(__xludf.DUMMYFUNCTION("""COMPUTED_VALUE"""),"2590/14-1-1062-2021,2ГП, УЗК ,РТТ")</f>
        <v>2590/14-1-1062-2021,2ГП, УЗК ,РТТ</v>
      </c>
      <c r="G708" s="133">
        <f ca="1">IFERROR(__xludf.DUMMYFUNCTION("""COMPUTED_VALUE"""),0.743)</f>
        <v>0.74299999999999999</v>
      </c>
      <c r="H708" s="133"/>
      <c r="I708" s="134">
        <f ca="1">IFERROR(__xludf.DUMMYFUNCTION("""COMPUTED_VALUE"""),2100000)</f>
        <v>2100000</v>
      </c>
    </row>
    <row r="709" spans="2:9" x14ac:dyDescent="0.3">
      <c r="B709" s="130" t="str">
        <f ca="1">IFERROR(__xludf.DUMMYFUNCTION("""COMPUTED_VALUE"""),"Круг")</f>
        <v>Круг</v>
      </c>
      <c r="C709" s="125" t="str">
        <f ca="1">IFERROR(__xludf.DUMMYFUNCTION("""COMPUTED_VALUE"""),"25Х17Н2Б-ш")</f>
        <v>25Х17Н2Б-ш</v>
      </c>
      <c r="D709" s="131">
        <f ca="1">IFERROR(__xludf.DUMMYFUNCTION("""COMPUTED_VALUE"""),45)</f>
        <v>45</v>
      </c>
      <c r="E709" s="131"/>
      <c r="F709" s="132" t="str">
        <f ca="1">IFERROR(__xludf.DUMMYFUNCTION("""COMPUTED_VALUE"""),"2590/14-1-1062-2021,2ГП, УЗК ,РТТ")</f>
        <v>2590/14-1-1062-2021,2ГП, УЗК ,РТТ</v>
      </c>
      <c r="G709" s="133">
        <f ca="1">IFERROR(__xludf.DUMMYFUNCTION("""COMPUTED_VALUE"""),0.33)</f>
        <v>0.33</v>
      </c>
      <c r="H709" s="133"/>
      <c r="I709" s="134">
        <f ca="1">IFERROR(__xludf.DUMMYFUNCTION("""COMPUTED_VALUE"""),2100000)</f>
        <v>2100000</v>
      </c>
    </row>
    <row r="710" spans="2:9" x14ac:dyDescent="0.3">
      <c r="B710" s="130" t="str">
        <f ca="1">IFERROR(__xludf.DUMMYFUNCTION("""COMPUTED_VALUE"""),"Круг")</f>
        <v>Круг</v>
      </c>
      <c r="C710" s="125" t="str">
        <f ca="1">IFERROR(__xludf.DUMMYFUNCTION("""COMPUTED_VALUE"""),"25Х17Н2Б-ш")</f>
        <v>25Х17Н2Б-ш</v>
      </c>
      <c r="D710" s="131">
        <f ca="1">IFERROR(__xludf.DUMMYFUNCTION("""COMPUTED_VALUE"""),50)</f>
        <v>50</v>
      </c>
      <c r="E710" s="131"/>
      <c r="F710" s="132" t="str">
        <f ca="1">IFERROR(__xludf.DUMMYFUNCTION("""COMPUTED_VALUE"""),"2590/14-1-1062-2021,2ГП, УЗК ,РТТ")</f>
        <v>2590/14-1-1062-2021,2ГП, УЗК ,РТТ</v>
      </c>
      <c r="G710" s="133">
        <f ca="1">IFERROR(__xludf.DUMMYFUNCTION("""COMPUTED_VALUE"""),0.26)</f>
        <v>0.26</v>
      </c>
      <c r="H710" s="133"/>
      <c r="I710" s="134">
        <f ca="1">IFERROR(__xludf.DUMMYFUNCTION("""COMPUTED_VALUE"""),2100000)</f>
        <v>2100000</v>
      </c>
    </row>
    <row r="711" spans="2:9" x14ac:dyDescent="0.3">
      <c r="B711" s="130" t="str">
        <f ca="1">IFERROR(__xludf.DUMMYFUNCTION("""COMPUTED_VALUE"""),"Круг")</f>
        <v>Круг</v>
      </c>
      <c r="C711" s="125" t="str">
        <f ca="1">IFERROR(__xludf.DUMMYFUNCTION("""COMPUTED_VALUE"""),"25Х17Н2Б-ш")</f>
        <v>25Х17Н2Б-ш</v>
      </c>
      <c r="D711" s="131">
        <f ca="1">IFERROR(__xludf.DUMMYFUNCTION("""COMPUTED_VALUE"""),50)</f>
        <v>50</v>
      </c>
      <c r="E711" s="131"/>
      <c r="F711" s="132" t="str">
        <f ca="1">IFERROR(__xludf.DUMMYFUNCTION("""COMPUTED_VALUE"""),"2590/14-1-1062-2021,2ГП, УЗК ,РТТ")</f>
        <v>2590/14-1-1062-2021,2ГП, УЗК ,РТТ</v>
      </c>
      <c r="G711" s="133">
        <f ca="1">IFERROR(__xludf.DUMMYFUNCTION("""COMPUTED_VALUE"""),0.25)</f>
        <v>0.25</v>
      </c>
      <c r="H711" s="133"/>
      <c r="I711" s="134">
        <f ca="1">IFERROR(__xludf.DUMMYFUNCTION("""COMPUTED_VALUE"""),2100000)</f>
        <v>2100000</v>
      </c>
    </row>
    <row r="712" spans="2:9" x14ac:dyDescent="0.3">
      <c r="B712" s="130" t="str">
        <f ca="1">IFERROR(__xludf.DUMMYFUNCTION("""COMPUTED_VALUE"""),"Круг")</f>
        <v>Круг</v>
      </c>
      <c r="C712" s="125" t="str">
        <f ca="1">IFERROR(__xludf.DUMMYFUNCTION("""COMPUTED_VALUE"""),"25Х17Н2Б-ш")</f>
        <v>25Х17Н2Б-ш</v>
      </c>
      <c r="D712" s="131">
        <f ca="1">IFERROR(__xludf.DUMMYFUNCTION("""COMPUTED_VALUE"""),56)</f>
        <v>56</v>
      </c>
      <c r="E712" s="131"/>
      <c r="F712" s="132" t="str">
        <f ca="1">IFERROR(__xludf.DUMMYFUNCTION("""COMPUTED_VALUE"""),"2590/14-1-1062-2021,2ГП, УЗК ,РТТ")</f>
        <v>2590/14-1-1062-2021,2ГП, УЗК ,РТТ</v>
      </c>
      <c r="G712" s="133">
        <f ca="1">IFERROR(__xludf.DUMMYFUNCTION("""COMPUTED_VALUE"""),1.283)</f>
        <v>1.2829999999999999</v>
      </c>
      <c r="H712" s="133"/>
      <c r="I712" s="134">
        <f ca="1">IFERROR(__xludf.DUMMYFUNCTION("""COMPUTED_VALUE"""),2100000)</f>
        <v>2100000</v>
      </c>
    </row>
    <row r="713" spans="2:9" x14ac:dyDescent="0.3">
      <c r="B713" s="130" t="str">
        <f ca="1">IFERROR(__xludf.DUMMYFUNCTION("""COMPUTED_VALUE"""),"Круг")</f>
        <v>Круг</v>
      </c>
      <c r="C713" s="125" t="str">
        <f ca="1">IFERROR(__xludf.DUMMYFUNCTION("""COMPUTED_VALUE"""),"25Х17Н2Б-ш")</f>
        <v>25Х17Н2Б-ш</v>
      </c>
      <c r="D713" s="131">
        <f ca="1">IFERROR(__xludf.DUMMYFUNCTION("""COMPUTED_VALUE"""),60)</f>
        <v>60</v>
      </c>
      <c r="E713" s="131"/>
      <c r="F713" s="132" t="str">
        <f ca="1">IFERROR(__xludf.DUMMYFUNCTION("""COMPUTED_VALUE"""),"2590/14-1-1062-2021,2ГП, УЗК ,РТТ")</f>
        <v>2590/14-1-1062-2021,2ГП, УЗК ,РТТ</v>
      </c>
      <c r="G713" s="133">
        <f ca="1">IFERROR(__xludf.DUMMYFUNCTION("""COMPUTED_VALUE"""),0.429)</f>
        <v>0.42899999999999999</v>
      </c>
      <c r="H713" s="133"/>
      <c r="I713" s="134">
        <f ca="1">IFERROR(__xludf.DUMMYFUNCTION("""COMPUTED_VALUE"""),2100000)</f>
        <v>2100000</v>
      </c>
    </row>
    <row r="714" spans="2:9" x14ac:dyDescent="0.3">
      <c r="B714" s="130" t="str">
        <f ca="1">IFERROR(__xludf.DUMMYFUNCTION("""COMPUTED_VALUE"""),"Круг")</f>
        <v>Круг</v>
      </c>
      <c r="C714" s="125" t="str">
        <f ca="1">IFERROR(__xludf.DUMMYFUNCTION("""COMPUTED_VALUE"""),"25Х17Н2Б-ш")</f>
        <v>25Х17Н2Б-ш</v>
      </c>
      <c r="D714" s="131">
        <f ca="1">IFERROR(__xludf.DUMMYFUNCTION("""COMPUTED_VALUE"""),60)</f>
        <v>60</v>
      </c>
      <c r="E714" s="131"/>
      <c r="F714" s="132" t="str">
        <f ca="1">IFERROR(__xludf.DUMMYFUNCTION("""COMPUTED_VALUE"""),"2590/14-1-1062-2021,2ГП, УЗК ,РТТ")</f>
        <v>2590/14-1-1062-2021,2ГП, УЗК ,РТТ</v>
      </c>
      <c r="G714" s="133">
        <f ca="1">IFERROR(__xludf.DUMMYFUNCTION("""COMPUTED_VALUE"""),0.209999999999999)</f>
        <v>0.20999999999999899</v>
      </c>
      <c r="H714" s="133"/>
      <c r="I714" s="134">
        <f ca="1">IFERROR(__xludf.DUMMYFUNCTION("""COMPUTED_VALUE"""),2100000)</f>
        <v>2100000</v>
      </c>
    </row>
    <row r="715" spans="2:9" x14ac:dyDescent="0.3">
      <c r="B715" s="130" t="str">
        <f ca="1">IFERROR(__xludf.DUMMYFUNCTION("""COMPUTED_VALUE"""),"Круг")</f>
        <v>Круг</v>
      </c>
      <c r="C715" s="125" t="str">
        <f ca="1">IFERROR(__xludf.DUMMYFUNCTION("""COMPUTED_VALUE"""),"25Х17Н2Б-ш")</f>
        <v>25Х17Н2Б-ш</v>
      </c>
      <c r="D715" s="131">
        <f ca="1">IFERROR(__xludf.DUMMYFUNCTION("""COMPUTED_VALUE"""),65)</f>
        <v>65</v>
      </c>
      <c r="E715" s="131"/>
      <c r="F715" s="132" t="str">
        <f ca="1">IFERROR(__xludf.DUMMYFUNCTION("""COMPUTED_VALUE"""),"2590/14-1-1062-2021,2ГП, УЗК ,РТТ")</f>
        <v>2590/14-1-1062-2021,2ГП, УЗК ,РТТ</v>
      </c>
      <c r="G715" s="133">
        <f ca="1">IFERROR(__xludf.DUMMYFUNCTION("""COMPUTED_VALUE"""),0.409999999999999)</f>
        <v>0.40999999999999898</v>
      </c>
      <c r="H715" s="133"/>
      <c r="I715" s="134">
        <f ca="1">IFERROR(__xludf.DUMMYFUNCTION("""COMPUTED_VALUE"""),2100000)</f>
        <v>2100000</v>
      </c>
    </row>
    <row r="716" spans="2:9" x14ac:dyDescent="0.3">
      <c r="B716" s="130" t="str">
        <f ca="1">IFERROR(__xludf.DUMMYFUNCTION("""COMPUTED_VALUE"""),"Круг")</f>
        <v>Круг</v>
      </c>
      <c r="C716" s="125" t="str">
        <f ca="1">IFERROR(__xludf.DUMMYFUNCTION("""COMPUTED_VALUE"""),"25Х17Н2Б-ш")</f>
        <v>25Х17Н2Б-ш</v>
      </c>
      <c r="D716" s="131">
        <f ca="1">IFERROR(__xludf.DUMMYFUNCTION("""COMPUTED_VALUE"""),70)</f>
        <v>70</v>
      </c>
      <c r="E716" s="131"/>
      <c r="F716" s="132" t="str">
        <f ca="1">IFERROR(__xludf.DUMMYFUNCTION("""COMPUTED_VALUE"""),"2590/14-1-1062-2021,2ГП, УЗК ,РТТ")</f>
        <v>2590/14-1-1062-2021,2ГП, УЗК ,РТТ</v>
      </c>
      <c r="G716" s="133">
        <f ca="1">IFERROR(__xludf.DUMMYFUNCTION("""COMPUTED_VALUE"""),0.288)</f>
        <v>0.28799999999999998</v>
      </c>
      <c r="H716" s="133"/>
      <c r="I716" s="134">
        <f ca="1">IFERROR(__xludf.DUMMYFUNCTION("""COMPUTED_VALUE"""),2100000)</f>
        <v>2100000</v>
      </c>
    </row>
    <row r="717" spans="2:9" x14ac:dyDescent="0.3">
      <c r="B717" s="130" t="str">
        <f ca="1">IFERROR(__xludf.DUMMYFUNCTION("""COMPUTED_VALUE"""),"Круг")</f>
        <v>Круг</v>
      </c>
      <c r="C717" s="125" t="str">
        <f ca="1">IFERROR(__xludf.DUMMYFUNCTION("""COMPUTED_VALUE"""),"25Х17Н2Б-ш")</f>
        <v>25Х17Н2Б-ш</v>
      </c>
      <c r="D717" s="131">
        <f ca="1">IFERROR(__xludf.DUMMYFUNCTION("""COMPUTED_VALUE"""),75)</f>
        <v>75</v>
      </c>
      <c r="E717" s="131"/>
      <c r="F717" s="132" t="str">
        <f ca="1">IFERROR(__xludf.DUMMYFUNCTION("""COMPUTED_VALUE"""),"2590/14-1-1062-2021,2ГП, УЗК ,РТТ")</f>
        <v>2590/14-1-1062-2021,2ГП, УЗК ,РТТ</v>
      </c>
      <c r="G717" s="133">
        <f ca="1">IFERROR(__xludf.DUMMYFUNCTION("""COMPUTED_VALUE"""),1.12)</f>
        <v>1.1200000000000001</v>
      </c>
      <c r="H717" s="133"/>
      <c r="I717" s="134">
        <f ca="1">IFERROR(__xludf.DUMMYFUNCTION("""COMPUTED_VALUE"""),2100000)</f>
        <v>2100000</v>
      </c>
    </row>
    <row r="718" spans="2:9" x14ac:dyDescent="0.3">
      <c r="B718" s="130" t="str">
        <f ca="1">IFERROR(__xludf.DUMMYFUNCTION("""COMPUTED_VALUE"""),"Круг")</f>
        <v>Круг</v>
      </c>
      <c r="C718" s="125" t="str">
        <f ca="1">IFERROR(__xludf.DUMMYFUNCTION("""COMPUTED_VALUE"""),"25Х17Н2Б-ш")</f>
        <v>25Х17Н2Б-ш</v>
      </c>
      <c r="D718" s="131">
        <f ca="1">IFERROR(__xludf.DUMMYFUNCTION("""COMPUTED_VALUE"""),80)</f>
        <v>80</v>
      </c>
      <c r="E718" s="131"/>
      <c r="F718" s="132" t="str">
        <f ca="1">IFERROR(__xludf.DUMMYFUNCTION("""COMPUTED_VALUE"""),"2590/14-1-1062-2021,2ГП, УЗК ,РТТ")</f>
        <v>2590/14-1-1062-2021,2ГП, УЗК ,РТТ</v>
      </c>
      <c r="G718" s="133">
        <f ca="1">IFERROR(__xludf.DUMMYFUNCTION("""COMPUTED_VALUE"""),0.442)</f>
        <v>0.442</v>
      </c>
      <c r="H718" s="133"/>
      <c r="I718" s="134">
        <f ca="1">IFERROR(__xludf.DUMMYFUNCTION("""COMPUTED_VALUE"""),2100000)</f>
        <v>2100000</v>
      </c>
    </row>
    <row r="719" spans="2:9" x14ac:dyDescent="0.3">
      <c r="B719" s="130" t="str">
        <f ca="1">IFERROR(__xludf.DUMMYFUNCTION("""COMPUTED_VALUE"""),"Круг")</f>
        <v>Круг</v>
      </c>
      <c r="C719" s="125" t="str">
        <f ca="1">IFERROR(__xludf.DUMMYFUNCTION("""COMPUTED_VALUE"""),"25Х17Н2Б-ш")</f>
        <v>25Х17Н2Б-ш</v>
      </c>
      <c r="D719" s="131">
        <f ca="1">IFERROR(__xludf.DUMMYFUNCTION("""COMPUTED_VALUE"""),90)</f>
        <v>90</v>
      </c>
      <c r="E719" s="131"/>
      <c r="F719" s="132" t="str">
        <f ca="1">IFERROR(__xludf.DUMMYFUNCTION("""COMPUTED_VALUE"""),"2590/14-1-1062-2021,2ГП, УЗК ,РТТ")</f>
        <v>2590/14-1-1062-2021,2ГП, УЗК ,РТТ</v>
      </c>
      <c r="G719" s="133">
        <f ca="1">IFERROR(__xludf.DUMMYFUNCTION("""COMPUTED_VALUE"""),1.2)</f>
        <v>1.2</v>
      </c>
      <c r="H719" s="133"/>
      <c r="I719" s="134">
        <f ca="1">IFERROR(__xludf.DUMMYFUNCTION("""COMPUTED_VALUE"""),2100000)</f>
        <v>2100000</v>
      </c>
    </row>
    <row r="720" spans="2:9" x14ac:dyDescent="0.3">
      <c r="B720" s="130" t="str">
        <f ca="1">IFERROR(__xludf.DUMMYFUNCTION("""COMPUTED_VALUE"""),"Круг ")</f>
        <v xml:space="preserve">Круг </v>
      </c>
      <c r="C720" s="125" t="str">
        <f ca="1">IFERROR(__xludf.DUMMYFUNCTION("""COMPUTED_VALUE"""),"20х13")</f>
        <v>20х13</v>
      </c>
      <c r="D720" s="131">
        <f ca="1">IFERROR(__xludf.DUMMYFUNCTION("""COMPUTED_VALUE"""),34)</f>
        <v>34</v>
      </c>
      <c r="E720" s="131"/>
      <c r="F720" s="132" t="str">
        <f ca="1">IFERROR(__xludf.DUMMYFUNCTION("""COMPUTED_VALUE"""),"ГОСТ 5949/ ГОСТ 2590 , УЗК")</f>
        <v>ГОСТ 5949/ ГОСТ 2590 , УЗК</v>
      </c>
      <c r="G720" s="133">
        <f ca="1">IFERROR(__xludf.DUMMYFUNCTION("""COMPUTED_VALUE"""),0.186)</f>
        <v>0.186</v>
      </c>
      <c r="H720" s="133"/>
      <c r="I720" s="134">
        <f ca="1">IFERROR(__xludf.DUMMYFUNCTION("""COMPUTED_VALUE"""),205000)</f>
        <v>205000</v>
      </c>
    </row>
    <row r="721" spans="2:9" x14ac:dyDescent="0.3">
      <c r="B721" s="130" t="str">
        <f ca="1">IFERROR(__xludf.DUMMYFUNCTION("""COMPUTED_VALUE"""),"Круг ")</f>
        <v xml:space="preserve">Круг </v>
      </c>
      <c r="C721" s="125" t="str">
        <f ca="1">IFERROR(__xludf.DUMMYFUNCTION("""COMPUTED_VALUE"""),"20х13")</f>
        <v>20х13</v>
      </c>
      <c r="D721" s="131">
        <f ca="1">IFERROR(__xludf.DUMMYFUNCTION("""COMPUTED_VALUE"""),35)</f>
        <v>35</v>
      </c>
      <c r="E721" s="131"/>
      <c r="F721" s="132" t="str">
        <f ca="1">IFERROR(__xludf.DUMMYFUNCTION("""COMPUTED_VALUE"""),"ГОСТ 5949/ ГОСТ 2590 , УЗК")</f>
        <v>ГОСТ 5949/ ГОСТ 2590 , УЗК</v>
      </c>
      <c r="G721" s="133">
        <f ca="1">IFERROR(__xludf.DUMMYFUNCTION("""COMPUTED_VALUE"""),0.400999999999999)</f>
        <v>0.40099999999999902</v>
      </c>
      <c r="H721" s="133"/>
      <c r="I721" s="134">
        <f ca="1">IFERROR(__xludf.DUMMYFUNCTION("""COMPUTED_VALUE"""),205000)</f>
        <v>205000</v>
      </c>
    </row>
    <row r="722" spans="2:9" x14ac:dyDescent="0.3">
      <c r="B722" s="130" t="str">
        <f ca="1">IFERROR(__xludf.DUMMYFUNCTION("""COMPUTED_VALUE"""),"Круг ")</f>
        <v xml:space="preserve">Круг </v>
      </c>
      <c r="C722" s="125" t="str">
        <f ca="1">IFERROR(__xludf.DUMMYFUNCTION("""COMPUTED_VALUE"""),"20х13")</f>
        <v>20х13</v>
      </c>
      <c r="D722" s="131">
        <f ca="1">IFERROR(__xludf.DUMMYFUNCTION("""COMPUTED_VALUE"""),38)</f>
        <v>38</v>
      </c>
      <c r="E722" s="131"/>
      <c r="F722" s="132" t="str">
        <f ca="1">IFERROR(__xludf.DUMMYFUNCTION("""COMPUTED_VALUE"""),"ГОСТ 5949/ ГОСТ 2590 , УЗК")</f>
        <v>ГОСТ 5949/ ГОСТ 2590 , УЗК</v>
      </c>
      <c r="G722" s="133">
        <f ca="1">IFERROR(__xludf.DUMMYFUNCTION("""COMPUTED_VALUE"""),0.402)</f>
        <v>0.40200000000000002</v>
      </c>
      <c r="H722" s="133"/>
      <c r="I722" s="134">
        <f ca="1">IFERROR(__xludf.DUMMYFUNCTION("""COMPUTED_VALUE"""),205000)</f>
        <v>205000</v>
      </c>
    </row>
    <row r="723" spans="2:9" x14ac:dyDescent="0.3">
      <c r="B723" s="130" t="str">
        <f ca="1">IFERROR(__xludf.DUMMYFUNCTION("""COMPUTED_VALUE"""),"Круг ")</f>
        <v xml:space="preserve">Круг </v>
      </c>
      <c r="C723" s="125" t="str">
        <f ca="1">IFERROR(__xludf.DUMMYFUNCTION("""COMPUTED_VALUE"""),"20х13")</f>
        <v>20х13</v>
      </c>
      <c r="D723" s="131">
        <f ca="1">IFERROR(__xludf.DUMMYFUNCTION("""COMPUTED_VALUE"""),58)</f>
        <v>58</v>
      </c>
      <c r="E723" s="131"/>
      <c r="F723" s="132" t="str">
        <f ca="1">IFERROR(__xludf.DUMMYFUNCTION("""COMPUTED_VALUE"""),"ГОСТ 5949/ ГОСТ 2590 , УЗК")</f>
        <v>ГОСТ 5949/ ГОСТ 2590 , УЗК</v>
      </c>
      <c r="G723" s="133">
        <f ca="1">IFERROR(__xludf.DUMMYFUNCTION("""COMPUTED_VALUE"""),0.628)</f>
        <v>0.628</v>
      </c>
      <c r="H723" s="133"/>
      <c r="I723" s="134">
        <f ca="1">IFERROR(__xludf.DUMMYFUNCTION("""COMPUTED_VALUE"""),205000)</f>
        <v>205000</v>
      </c>
    </row>
    <row r="724" spans="2:9" x14ac:dyDescent="0.3">
      <c r="B724" s="130" t="str">
        <f ca="1">IFERROR(__xludf.DUMMYFUNCTION("""COMPUTED_VALUE"""),"круг ков")</f>
        <v>круг ков</v>
      </c>
      <c r="C724" s="125" t="str">
        <f ca="1">IFERROR(__xludf.DUMMYFUNCTION("""COMPUTED_VALUE"""),"40Х13")</f>
        <v>40Х13</v>
      </c>
      <c r="D724" s="131">
        <f ca="1">IFERROR(__xludf.DUMMYFUNCTION("""COMPUTED_VALUE"""),250)</f>
        <v>250</v>
      </c>
      <c r="E724" s="131"/>
      <c r="F724" s="132" t="str">
        <f ca="1">IFERROR(__xludf.DUMMYFUNCTION("""COMPUTED_VALUE"""),"УЗК обточка")</f>
        <v>УЗК обточка</v>
      </c>
      <c r="G724" s="133">
        <f ca="1">IFERROR(__xludf.DUMMYFUNCTION("""COMPUTED_VALUE"""),0.358)</f>
        <v>0.35799999999999998</v>
      </c>
      <c r="H724" s="133"/>
      <c r="I724" s="134">
        <f ca="1">IFERROR(__xludf.DUMMYFUNCTION("""COMPUTED_VALUE"""),540000)</f>
        <v>540000</v>
      </c>
    </row>
    <row r="725" spans="2:9" x14ac:dyDescent="0.3">
      <c r="B725" s="130" t="str">
        <f ca="1">IFERROR(__xludf.DUMMYFUNCTION("""COMPUTED_VALUE"""),"круг ков")</f>
        <v>круг ков</v>
      </c>
      <c r="C725" s="125" t="str">
        <f ca="1">IFERROR(__xludf.DUMMYFUNCTION("""COMPUTED_VALUE"""),"40Х13")</f>
        <v>40Х13</v>
      </c>
      <c r="D725" s="131">
        <f ca="1">IFERROR(__xludf.DUMMYFUNCTION("""COMPUTED_VALUE"""),250)</f>
        <v>250</v>
      </c>
      <c r="E725" s="131"/>
      <c r="F725" s="132" t="str">
        <f ca="1">IFERROR(__xludf.DUMMYFUNCTION("""COMPUTED_VALUE"""),"УЗК обточка")</f>
        <v>УЗК обточка</v>
      </c>
      <c r="G725" s="133">
        <f ca="1">IFERROR(__xludf.DUMMYFUNCTION("""COMPUTED_VALUE"""),1.11599999999999)</f>
        <v>1.1159999999999899</v>
      </c>
      <c r="H725" s="133"/>
      <c r="I725" s="134">
        <f ca="1">IFERROR(__xludf.DUMMYFUNCTION("""COMPUTED_VALUE"""),540000)</f>
        <v>540000</v>
      </c>
    </row>
    <row r="726" spans="2:9" x14ac:dyDescent="0.3">
      <c r="B726" s="130" t="str">
        <f ca="1">IFERROR(__xludf.DUMMYFUNCTION("""COMPUTED_VALUE"""),"круг ков")</f>
        <v>круг ков</v>
      </c>
      <c r="C726" s="125" t="str">
        <f ca="1">IFERROR(__xludf.DUMMYFUNCTION("""COMPUTED_VALUE"""),"40Х13")</f>
        <v>40Х13</v>
      </c>
      <c r="D726" s="131">
        <f ca="1">IFERROR(__xludf.DUMMYFUNCTION("""COMPUTED_VALUE"""),300)</f>
        <v>300</v>
      </c>
      <c r="E726" s="131"/>
      <c r="F726" s="132" t="str">
        <f ca="1">IFERROR(__xludf.DUMMYFUNCTION("""COMPUTED_VALUE"""),"УЗК обточка")</f>
        <v>УЗК обточка</v>
      </c>
      <c r="G726" s="133">
        <f ca="1">IFERROR(__xludf.DUMMYFUNCTION("""COMPUTED_VALUE"""),2.632)</f>
        <v>2.6320000000000001</v>
      </c>
      <c r="H726" s="133"/>
      <c r="I726" s="134">
        <f ca="1">IFERROR(__xludf.DUMMYFUNCTION("""COMPUTED_VALUE"""),540000)</f>
        <v>540000</v>
      </c>
    </row>
    <row r="727" spans="2:9" x14ac:dyDescent="0.3">
      <c r="B727" s="130" t="str">
        <f ca="1">IFERROR(__xludf.DUMMYFUNCTION("""COMPUTED_VALUE"""),"круг ков")</f>
        <v>круг ков</v>
      </c>
      <c r="C727" s="125" t="str">
        <f ca="1">IFERROR(__xludf.DUMMYFUNCTION("""COMPUTED_VALUE"""),"40Х13")</f>
        <v>40Х13</v>
      </c>
      <c r="D727" s="131">
        <f ca="1">IFERROR(__xludf.DUMMYFUNCTION("""COMPUTED_VALUE"""),350)</f>
        <v>350</v>
      </c>
      <c r="E727" s="131"/>
      <c r="F727" s="132" t="str">
        <f ca="1">IFERROR(__xludf.DUMMYFUNCTION("""COMPUTED_VALUE"""),"УЗК обточка")</f>
        <v>УЗК обточка</v>
      </c>
      <c r="G727" s="133">
        <f ca="1">IFERROR(__xludf.DUMMYFUNCTION("""COMPUTED_VALUE"""),1.77799999999999)</f>
        <v>1.77799999999999</v>
      </c>
      <c r="H727" s="133"/>
      <c r="I727" s="134">
        <f ca="1">IFERROR(__xludf.DUMMYFUNCTION("""COMPUTED_VALUE"""),540000)</f>
        <v>540000</v>
      </c>
    </row>
    <row r="728" spans="2:9" x14ac:dyDescent="0.3">
      <c r="B728" s="130" t="str">
        <f ca="1">IFERROR(__xludf.DUMMYFUNCTION("""COMPUTED_VALUE"""),"круг ков")</f>
        <v>круг ков</v>
      </c>
      <c r="C728" s="125" t="str">
        <f ca="1">IFERROR(__xludf.DUMMYFUNCTION("""COMPUTED_VALUE"""),"40Х13")</f>
        <v>40Х13</v>
      </c>
      <c r="D728" s="131">
        <f ca="1">IFERROR(__xludf.DUMMYFUNCTION("""COMPUTED_VALUE"""),400)</f>
        <v>400</v>
      </c>
      <c r="E728" s="131"/>
      <c r="F728" s="132" t="str">
        <f ca="1">IFERROR(__xludf.DUMMYFUNCTION("""COMPUTED_VALUE"""),"УЗК обточка")</f>
        <v>УЗК обточка</v>
      </c>
      <c r="G728" s="133">
        <f ca="1">IFERROR(__xludf.DUMMYFUNCTION("""COMPUTED_VALUE"""),0.315999999999999)</f>
        <v>0.315999999999999</v>
      </c>
      <c r="H728" s="133"/>
      <c r="I728" s="134">
        <f ca="1">IFERROR(__xludf.DUMMYFUNCTION("""COMPUTED_VALUE"""),540000)</f>
        <v>540000</v>
      </c>
    </row>
    <row r="729" spans="2:9" x14ac:dyDescent="0.3">
      <c r="B729" s="130" t="str">
        <f ca="1">IFERROR(__xludf.DUMMYFUNCTION("""COMPUTED_VALUE"""),"круг ков")</f>
        <v>круг ков</v>
      </c>
      <c r="C729" s="125" t="str">
        <f ca="1">IFERROR(__xludf.DUMMYFUNCTION("""COMPUTED_VALUE"""),"14Х17Н2")</f>
        <v>14Х17Н2</v>
      </c>
      <c r="D729" s="131">
        <f ca="1">IFERROR(__xludf.DUMMYFUNCTION("""COMPUTED_VALUE"""),250)</f>
        <v>250</v>
      </c>
      <c r="E729" s="131"/>
      <c r="F729" s="132" t="str">
        <f ca="1">IFERROR(__xludf.DUMMYFUNCTION("""COMPUTED_VALUE"""),"УЗК обточка")</f>
        <v>УЗК обточка</v>
      </c>
      <c r="G729" s="133">
        <f ca="1">IFERROR(__xludf.DUMMYFUNCTION("""COMPUTED_VALUE"""),0.18)</f>
        <v>0.18</v>
      </c>
      <c r="H729" s="133"/>
      <c r="I729" s="134">
        <f ca="1">IFERROR(__xludf.DUMMYFUNCTION("""COMPUTED_VALUE"""),585000)</f>
        <v>585000</v>
      </c>
    </row>
    <row r="730" spans="2:9" x14ac:dyDescent="0.3">
      <c r="B730" s="130" t="str">
        <f ca="1">IFERROR(__xludf.DUMMYFUNCTION("""COMPUTED_VALUE"""),"круг ков")</f>
        <v>круг ков</v>
      </c>
      <c r="C730" s="125" t="str">
        <f ca="1">IFERROR(__xludf.DUMMYFUNCTION("""COMPUTED_VALUE"""),"14Х17Н2")</f>
        <v>14Х17Н2</v>
      </c>
      <c r="D730" s="131">
        <f ca="1">IFERROR(__xludf.DUMMYFUNCTION("""COMPUTED_VALUE"""),250)</f>
        <v>250</v>
      </c>
      <c r="E730" s="131"/>
      <c r="F730" s="132" t="str">
        <f ca="1">IFERROR(__xludf.DUMMYFUNCTION("""COMPUTED_VALUE"""),"УЗК обточка")</f>
        <v>УЗК обточка</v>
      </c>
      <c r="G730" s="133">
        <f ca="1">IFERROR(__xludf.DUMMYFUNCTION("""COMPUTED_VALUE"""),0.258999999999999)</f>
        <v>0.25899999999999901</v>
      </c>
      <c r="H730" s="133"/>
      <c r="I730" s="134">
        <f ca="1">IFERROR(__xludf.DUMMYFUNCTION("""COMPUTED_VALUE"""),585000)</f>
        <v>585000</v>
      </c>
    </row>
    <row r="731" spans="2:9" x14ac:dyDescent="0.3">
      <c r="B731" s="130" t="str">
        <f ca="1">IFERROR(__xludf.DUMMYFUNCTION("""COMPUTED_VALUE"""),"круг ков")</f>
        <v>круг ков</v>
      </c>
      <c r="C731" s="125" t="str">
        <f ca="1">IFERROR(__xludf.DUMMYFUNCTION("""COMPUTED_VALUE"""),"14Х17Н2")</f>
        <v>14Х17Н2</v>
      </c>
      <c r="D731" s="131">
        <f ca="1">IFERROR(__xludf.DUMMYFUNCTION("""COMPUTED_VALUE"""),250)</f>
        <v>250</v>
      </c>
      <c r="E731" s="131"/>
      <c r="F731" s="132" t="str">
        <f ca="1">IFERROR(__xludf.DUMMYFUNCTION("""COMPUTED_VALUE"""),"УЗК обточка")</f>
        <v>УЗК обточка</v>
      </c>
      <c r="G731" s="133">
        <f ca="1">IFERROR(__xludf.DUMMYFUNCTION("""COMPUTED_VALUE"""),0.595)</f>
        <v>0.59499999999999997</v>
      </c>
      <c r="H731" s="133"/>
      <c r="I731" s="134">
        <f ca="1">IFERROR(__xludf.DUMMYFUNCTION("""COMPUTED_VALUE"""),585000)</f>
        <v>585000</v>
      </c>
    </row>
    <row r="732" spans="2:9" x14ac:dyDescent="0.3">
      <c r="B732" s="130" t="str">
        <f ca="1">IFERROR(__xludf.DUMMYFUNCTION("""COMPUTED_VALUE"""),"круг ков")</f>
        <v>круг ков</v>
      </c>
      <c r="C732" s="125" t="str">
        <f ca="1">IFERROR(__xludf.DUMMYFUNCTION("""COMPUTED_VALUE"""),"14Х17Н2")</f>
        <v>14Х17Н2</v>
      </c>
      <c r="D732" s="131">
        <f ca="1">IFERROR(__xludf.DUMMYFUNCTION("""COMPUTED_VALUE"""),250)</f>
        <v>250</v>
      </c>
      <c r="E732" s="131"/>
      <c r="F732" s="132" t="str">
        <f ca="1">IFERROR(__xludf.DUMMYFUNCTION("""COMPUTED_VALUE"""),"УЗК обточка")</f>
        <v>УЗК обточка</v>
      </c>
      <c r="G732" s="133">
        <f ca="1">IFERROR(__xludf.DUMMYFUNCTION("""COMPUTED_VALUE"""),1.3)</f>
        <v>1.3</v>
      </c>
      <c r="H732" s="133"/>
      <c r="I732" s="134">
        <f ca="1">IFERROR(__xludf.DUMMYFUNCTION("""COMPUTED_VALUE"""),585000)</f>
        <v>585000</v>
      </c>
    </row>
    <row r="733" spans="2:9" x14ac:dyDescent="0.3">
      <c r="B733" s="130" t="str">
        <f ca="1">IFERROR(__xludf.DUMMYFUNCTION("""COMPUTED_VALUE"""),"круг ков")</f>
        <v>круг ков</v>
      </c>
      <c r="C733" s="125" t="str">
        <f ca="1">IFERROR(__xludf.DUMMYFUNCTION("""COMPUTED_VALUE"""),"14Х17Н2")</f>
        <v>14Х17Н2</v>
      </c>
      <c r="D733" s="131">
        <f ca="1">IFERROR(__xludf.DUMMYFUNCTION("""COMPUTED_VALUE"""),250)</f>
        <v>250</v>
      </c>
      <c r="E733" s="131"/>
      <c r="F733" s="132" t="str">
        <f ca="1">IFERROR(__xludf.DUMMYFUNCTION("""COMPUTED_VALUE"""),"узк, без обточки")</f>
        <v>узк, без обточки</v>
      </c>
      <c r="G733" s="133">
        <f ca="1">IFERROR(__xludf.DUMMYFUNCTION("""COMPUTED_VALUE"""),0.59)</f>
        <v>0.59</v>
      </c>
      <c r="H733" s="133"/>
      <c r="I733" s="134">
        <f ca="1">IFERROR(__xludf.DUMMYFUNCTION("""COMPUTED_VALUE"""),585000)</f>
        <v>585000</v>
      </c>
    </row>
    <row r="734" spans="2:9" x14ac:dyDescent="0.3">
      <c r="B734" s="130" t="str">
        <f ca="1">IFERROR(__xludf.DUMMYFUNCTION("""COMPUTED_VALUE"""),"круг ков")</f>
        <v>круг ков</v>
      </c>
      <c r="C734" s="125" t="str">
        <f ca="1">IFERROR(__xludf.DUMMYFUNCTION("""COMPUTED_VALUE"""),"14Х17Н2")</f>
        <v>14Х17Н2</v>
      </c>
      <c r="D734" s="131">
        <f ca="1">IFERROR(__xludf.DUMMYFUNCTION("""COMPUTED_VALUE"""),300)</f>
        <v>300</v>
      </c>
      <c r="E734" s="131"/>
      <c r="F734" s="132" t="str">
        <f ca="1">IFERROR(__xludf.DUMMYFUNCTION("""COMPUTED_VALUE"""),"УЗК обточка")</f>
        <v>УЗК обточка</v>
      </c>
      <c r="G734" s="133">
        <f ca="1">IFERROR(__xludf.DUMMYFUNCTION("""COMPUTED_VALUE"""),0.161)</f>
        <v>0.161</v>
      </c>
      <c r="H734" s="133"/>
      <c r="I734" s="134">
        <f ca="1">IFERROR(__xludf.DUMMYFUNCTION("""COMPUTED_VALUE"""),585000)</f>
        <v>585000</v>
      </c>
    </row>
    <row r="735" spans="2:9" x14ac:dyDescent="0.3">
      <c r="B735" s="130" t="str">
        <f ca="1">IFERROR(__xludf.DUMMYFUNCTION("""COMPUTED_VALUE"""),"круг ков")</f>
        <v>круг ков</v>
      </c>
      <c r="C735" s="125" t="str">
        <f ca="1">IFERROR(__xludf.DUMMYFUNCTION("""COMPUTED_VALUE"""),"14Х17Н2")</f>
        <v>14Х17Н2</v>
      </c>
      <c r="D735" s="131">
        <f ca="1">IFERROR(__xludf.DUMMYFUNCTION("""COMPUTED_VALUE"""),300)</f>
        <v>300</v>
      </c>
      <c r="E735" s="131"/>
      <c r="F735" s="132" t="str">
        <f ca="1">IFERROR(__xludf.DUMMYFUNCTION("""COMPUTED_VALUE"""),"узк, без обточки")</f>
        <v>узк, без обточки</v>
      </c>
      <c r="G735" s="133">
        <f ca="1">IFERROR(__xludf.DUMMYFUNCTION("""COMPUTED_VALUE"""),0.282999999999999)</f>
        <v>0.28299999999999897</v>
      </c>
      <c r="H735" s="133"/>
      <c r="I735" s="134">
        <f ca="1">IFERROR(__xludf.DUMMYFUNCTION("""COMPUTED_VALUE"""),585000)</f>
        <v>585000</v>
      </c>
    </row>
    <row r="736" spans="2:9" x14ac:dyDescent="0.3">
      <c r="B736" s="130" t="str">
        <f ca="1">IFERROR(__xludf.DUMMYFUNCTION("""COMPUTED_VALUE"""),"круг ков")</f>
        <v>круг ков</v>
      </c>
      <c r="C736" s="125" t="str">
        <f ca="1">IFERROR(__xludf.DUMMYFUNCTION("""COMPUTED_VALUE"""),"14Х17Н2")</f>
        <v>14Х17Н2</v>
      </c>
      <c r="D736" s="131">
        <f ca="1">IFERROR(__xludf.DUMMYFUNCTION("""COMPUTED_VALUE"""),350)</f>
        <v>350</v>
      </c>
      <c r="E736" s="131"/>
      <c r="F736" s="132" t="str">
        <f ca="1">IFERROR(__xludf.DUMMYFUNCTION("""COMPUTED_VALUE"""),"УЗК обточка")</f>
        <v>УЗК обточка</v>
      </c>
      <c r="G736" s="133">
        <f ca="1">IFERROR(__xludf.DUMMYFUNCTION("""COMPUTED_VALUE"""),0.071)</f>
        <v>7.0999999999999994E-2</v>
      </c>
      <c r="H736" s="133"/>
      <c r="I736" s="134">
        <f ca="1">IFERROR(__xludf.DUMMYFUNCTION("""COMPUTED_VALUE"""),585000)</f>
        <v>585000</v>
      </c>
    </row>
    <row r="737" spans="2:9" x14ac:dyDescent="0.3">
      <c r="B737" s="130" t="str">
        <f ca="1">IFERROR(__xludf.DUMMYFUNCTION("""COMPUTED_VALUE"""),"круг ков")</f>
        <v>круг ков</v>
      </c>
      <c r="C737" s="125" t="str">
        <f ca="1">IFERROR(__xludf.DUMMYFUNCTION("""COMPUTED_VALUE"""),"14Х17Н2")</f>
        <v>14Х17Н2</v>
      </c>
      <c r="D737" s="131">
        <f ca="1">IFERROR(__xludf.DUMMYFUNCTION("""COMPUTED_VALUE"""),400)</f>
        <v>400</v>
      </c>
      <c r="E737" s="131"/>
      <c r="F737" s="132" t="str">
        <f ca="1">IFERROR(__xludf.DUMMYFUNCTION("""COMPUTED_VALUE"""),"узк, без обточки")</f>
        <v>узк, без обточки</v>
      </c>
      <c r="G737" s="133">
        <f ca="1">IFERROR(__xludf.DUMMYFUNCTION("""COMPUTED_VALUE"""),1.61399999999999)</f>
        <v>1.6139999999999901</v>
      </c>
      <c r="H737" s="133"/>
      <c r="I737" s="134">
        <f ca="1">IFERROR(__xludf.DUMMYFUNCTION("""COMPUTED_VALUE"""),585000)</f>
        <v>585000</v>
      </c>
    </row>
    <row r="738" spans="2:9" x14ac:dyDescent="0.3">
      <c r="B738" s="130" t="str">
        <f ca="1">IFERROR(__xludf.DUMMYFUNCTION("""COMPUTED_VALUE"""),"круг ков")</f>
        <v>круг ков</v>
      </c>
      <c r="C738" s="125" t="str">
        <f ca="1">IFERROR(__xludf.DUMMYFUNCTION("""COMPUTED_VALUE"""),"14Х17Н2")</f>
        <v>14Х17Н2</v>
      </c>
      <c r="D738" s="131">
        <f ca="1">IFERROR(__xludf.DUMMYFUNCTION("""COMPUTED_VALUE"""),400)</f>
        <v>400</v>
      </c>
      <c r="E738" s="131"/>
      <c r="F738" s="132" t="str">
        <f ca="1">IFERROR(__xludf.DUMMYFUNCTION("""COMPUTED_VALUE"""),"узк, без обточки")</f>
        <v>узк, без обточки</v>
      </c>
      <c r="G738" s="133">
        <f ca="1">IFERROR(__xludf.DUMMYFUNCTION("""COMPUTED_VALUE"""),1.86)</f>
        <v>1.86</v>
      </c>
      <c r="H738" s="133"/>
      <c r="I738" s="134">
        <f ca="1">IFERROR(__xludf.DUMMYFUNCTION("""COMPUTED_VALUE"""),585000)</f>
        <v>585000</v>
      </c>
    </row>
    <row r="739" spans="2:9" x14ac:dyDescent="0.3">
      <c r="B739" s="130" t="str">
        <f ca="1">IFERROR(__xludf.DUMMYFUNCTION("""COMPUTED_VALUE"""),"круг")</f>
        <v>круг</v>
      </c>
      <c r="C739" s="125" t="str">
        <f ca="1">IFERROR(__xludf.DUMMYFUNCTION("""COMPUTED_VALUE"""),"ХВГ")</f>
        <v>ХВГ</v>
      </c>
      <c r="D739" s="131">
        <f ca="1">IFERROR(__xludf.DUMMYFUNCTION("""COMPUTED_VALUE"""),10)</f>
        <v>10</v>
      </c>
      <c r="E739" s="131"/>
      <c r="F739" s="132" t="str">
        <f ca="1">IFERROR(__xludf.DUMMYFUNCTION("""COMPUTED_VALUE"""),"3ГП ГОСТ 5950/2590 отжиг")</f>
        <v>3ГП ГОСТ 5950/2590 отжиг</v>
      </c>
      <c r="G739" s="133">
        <f ca="1">IFERROR(__xludf.DUMMYFUNCTION("""COMPUTED_VALUE"""),0.45)</f>
        <v>0.45</v>
      </c>
      <c r="H739" s="133"/>
      <c r="I739" s="134">
        <f ca="1">IFERROR(__xludf.DUMMYFUNCTION("""COMPUTED_VALUE"""),530000)</f>
        <v>530000</v>
      </c>
    </row>
    <row r="740" spans="2:9" x14ac:dyDescent="0.3">
      <c r="B740" s="130" t="str">
        <f ca="1">IFERROR(__xludf.DUMMYFUNCTION("""COMPUTED_VALUE"""),"круг")</f>
        <v>круг</v>
      </c>
      <c r="C740" s="125" t="str">
        <f ca="1">IFERROR(__xludf.DUMMYFUNCTION("""COMPUTED_VALUE"""),"ХВГ")</f>
        <v>ХВГ</v>
      </c>
      <c r="D740" s="131">
        <f ca="1">IFERROR(__xludf.DUMMYFUNCTION("""COMPUTED_VALUE"""),12)</f>
        <v>12</v>
      </c>
      <c r="E740" s="131"/>
      <c r="F740" s="132" t="str">
        <f ca="1">IFERROR(__xludf.DUMMYFUNCTION("""COMPUTED_VALUE"""),"3ГП ГОСТ 5950/2590 отжиг")</f>
        <v>3ГП ГОСТ 5950/2590 отжиг</v>
      </c>
      <c r="G740" s="133">
        <f ca="1">IFERROR(__xludf.DUMMYFUNCTION("""COMPUTED_VALUE"""),0.194)</f>
        <v>0.19400000000000001</v>
      </c>
      <c r="H740" s="133"/>
      <c r="I740" s="134">
        <f ca="1">IFERROR(__xludf.DUMMYFUNCTION("""COMPUTED_VALUE"""),530000)</f>
        <v>530000</v>
      </c>
    </row>
    <row r="741" spans="2:9" x14ac:dyDescent="0.3">
      <c r="B741" s="130" t="str">
        <f ca="1">IFERROR(__xludf.DUMMYFUNCTION("""COMPUTED_VALUE"""),"круг")</f>
        <v>круг</v>
      </c>
      <c r="C741" s="125" t="str">
        <f ca="1">IFERROR(__xludf.DUMMYFUNCTION("""COMPUTED_VALUE"""),"ХВГ")</f>
        <v>ХВГ</v>
      </c>
      <c r="D741" s="131">
        <f ca="1">IFERROR(__xludf.DUMMYFUNCTION("""COMPUTED_VALUE"""),12)</f>
        <v>12</v>
      </c>
      <c r="E741" s="131"/>
      <c r="F741" s="132" t="str">
        <f ca="1">IFERROR(__xludf.DUMMYFUNCTION("""COMPUTED_VALUE"""),"3ГП ГОСТ 5950/2590 отжиг")</f>
        <v>3ГП ГОСТ 5950/2590 отжиг</v>
      </c>
      <c r="G741" s="133">
        <f ca="1">IFERROR(__xludf.DUMMYFUNCTION("""COMPUTED_VALUE"""),0.24)</f>
        <v>0.24</v>
      </c>
      <c r="H741" s="133"/>
      <c r="I741" s="134">
        <f ca="1">IFERROR(__xludf.DUMMYFUNCTION("""COMPUTED_VALUE"""),530000)</f>
        <v>530000</v>
      </c>
    </row>
    <row r="742" spans="2:9" x14ac:dyDescent="0.3">
      <c r="B742" s="130" t="str">
        <f ca="1">IFERROR(__xludf.DUMMYFUNCTION("""COMPUTED_VALUE"""),"круг")</f>
        <v>круг</v>
      </c>
      <c r="C742" s="125" t="str">
        <f ca="1">IFERROR(__xludf.DUMMYFUNCTION("""COMPUTED_VALUE"""),"ХВГ")</f>
        <v>ХВГ</v>
      </c>
      <c r="D742" s="131">
        <f ca="1">IFERROR(__xludf.DUMMYFUNCTION("""COMPUTED_VALUE"""),16)</f>
        <v>16</v>
      </c>
      <c r="E742" s="131"/>
      <c r="F742" s="132" t="str">
        <f ca="1">IFERROR(__xludf.DUMMYFUNCTION("""COMPUTED_VALUE"""),"3ГП ГОСТ 5950/2590 отжиг")</f>
        <v>3ГП ГОСТ 5950/2590 отжиг</v>
      </c>
      <c r="G742" s="133">
        <f ca="1">IFERROR(__xludf.DUMMYFUNCTION("""COMPUTED_VALUE"""),0.744)</f>
        <v>0.74399999999999999</v>
      </c>
      <c r="H742" s="133"/>
      <c r="I742" s="134">
        <f ca="1">IFERROR(__xludf.DUMMYFUNCTION("""COMPUTED_VALUE"""),530000)</f>
        <v>530000</v>
      </c>
    </row>
    <row r="743" spans="2:9" x14ac:dyDescent="0.3">
      <c r="B743" s="130" t="str">
        <f ca="1">IFERROR(__xludf.DUMMYFUNCTION("""COMPUTED_VALUE"""),"круг")</f>
        <v>круг</v>
      </c>
      <c r="C743" s="125" t="str">
        <f ca="1">IFERROR(__xludf.DUMMYFUNCTION("""COMPUTED_VALUE"""),"ХВГ")</f>
        <v>ХВГ</v>
      </c>
      <c r="D743" s="131">
        <f ca="1">IFERROR(__xludf.DUMMYFUNCTION("""COMPUTED_VALUE"""),20)</f>
        <v>20</v>
      </c>
      <c r="E743" s="131"/>
      <c r="F743" s="132" t="str">
        <f ca="1">IFERROR(__xludf.DUMMYFUNCTION("""COMPUTED_VALUE"""),"2ГП ГОСТ 5950/2590 отжиг")</f>
        <v>2ГП ГОСТ 5950/2590 отжиг</v>
      </c>
      <c r="G743" s="133">
        <f ca="1">IFERROR(__xludf.DUMMYFUNCTION("""COMPUTED_VALUE"""),0.265999999999999)</f>
        <v>0.26599999999999902</v>
      </c>
      <c r="H743" s="133"/>
      <c r="I743" s="134">
        <f ca="1">IFERROR(__xludf.DUMMYFUNCTION("""COMPUTED_VALUE"""),530000)</f>
        <v>530000</v>
      </c>
    </row>
    <row r="744" spans="2:9" x14ac:dyDescent="0.3">
      <c r="B744" s="130" t="str">
        <f ca="1">IFERROR(__xludf.DUMMYFUNCTION("""COMPUTED_VALUE"""),"круг")</f>
        <v>круг</v>
      </c>
      <c r="C744" s="125" t="str">
        <f ca="1">IFERROR(__xludf.DUMMYFUNCTION("""COMPUTED_VALUE"""),"ХВГ")</f>
        <v>ХВГ</v>
      </c>
      <c r="D744" s="131">
        <f ca="1">IFERROR(__xludf.DUMMYFUNCTION("""COMPUTED_VALUE"""),20)</f>
        <v>20</v>
      </c>
      <c r="E744" s="131"/>
      <c r="F744" s="132" t="str">
        <f ca="1">IFERROR(__xludf.DUMMYFUNCTION("""COMPUTED_VALUE"""),"2ГП ГОСТ 5950/2590 отжиг")</f>
        <v>2ГП ГОСТ 5950/2590 отжиг</v>
      </c>
      <c r="G744" s="133">
        <f ca="1">IFERROR(__xludf.DUMMYFUNCTION("""COMPUTED_VALUE"""),0.38)</f>
        <v>0.38</v>
      </c>
      <c r="H744" s="133"/>
      <c r="I744" s="134">
        <f ca="1">IFERROR(__xludf.DUMMYFUNCTION("""COMPUTED_VALUE"""),530000)</f>
        <v>530000</v>
      </c>
    </row>
    <row r="745" spans="2:9" x14ac:dyDescent="0.3">
      <c r="B745" s="130" t="str">
        <f ca="1">IFERROR(__xludf.DUMMYFUNCTION("""COMPUTED_VALUE"""),"круг")</f>
        <v>круг</v>
      </c>
      <c r="C745" s="125" t="str">
        <f ca="1">IFERROR(__xludf.DUMMYFUNCTION("""COMPUTED_VALUE"""),"ХВГ")</f>
        <v>ХВГ</v>
      </c>
      <c r="D745" s="131">
        <f ca="1">IFERROR(__xludf.DUMMYFUNCTION("""COMPUTED_VALUE"""),20)</f>
        <v>20</v>
      </c>
      <c r="E745" s="131"/>
      <c r="F745" s="132" t="str">
        <f ca="1">IFERROR(__xludf.DUMMYFUNCTION("""COMPUTED_VALUE"""),"3ГП ГОСТ 5950/2590 отжиг")</f>
        <v>3ГП ГОСТ 5950/2590 отжиг</v>
      </c>
      <c r="G745" s="133">
        <f ca="1">IFERROR(__xludf.DUMMYFUNCTION("""COMPUTED_VALUE"""),0.942)</f>
        <v>0.94199999999999995</v>
      </c>
      <c r="H745" s="133"/>
      <c r="I745" s="134">
        <f ca="1">IFERROR(__xludf.DUMMYFUNCTION("""COMPUTED_VALUE"""),530000)</f>
        <v>530000</v>
      </c>
    </row>
    <row r="746" spans="2:9" x14ac:dyDescent="0.3">
      <c r="B746" s="130" t="str">
        <f ca="1">IFERROR(__xludf.DUMMYFUNCTION("""COMPUTED_VALUE"""),"круг")</f>
        <v>круг</v>
      </c>
      <c r="C746" s="125" t="str">
        <f ca="1">IFERROR(__xludf.DUMMYFUNCTION("""COMPUTED_VALUE"""),"ХВГ")</f>
        <v>ХВГ</v>
      </c>
      <c r="D746" s="131">
        <f ca="1">IFERROR(__xludf.DUMMYFUNCTION("""COMPUTED_VALUE"""),22)</f>
        <v>22</v>
      </c>
      <c r="E746" s="131"/>
      <c r="F746" s="132" t="str">
        <f ca="1">IFERROR(__xludf.DUMMYFUNCTION("""COMPUTED_VALUE"""),"3ГП ГОСТ 5950/2590 отжиг")</f>
        <v>3ГП ГОСТ 5950/2590 отжиг</v>
      </c>
      <c r="G746" s="133">
        <f ca="1">IFERROR(__xludf.DUMMYFUNCTION("""COMPUTED_VALUE"""),0.42)</f>
        <v>0.42</v>
      </c>
      <c r="H746" s="133"/>
      <c r="I746" s="134">
        <f ca="1">IFERROR(__xludf.DUMMYFUNCTION("""COMPUTED_VALUE"""),530000)</f>
        <v>530000</v>
      </c>
    </row>
    <row r="747" spans="2:9" x14ac:dyDescent="0.3">
      <c r="B747" s="130" t="str">
        <f ca="1">IFERROR(__xludf.DUMMYFUNCTION("""COMPUTED_VALUE"""),"круг")</f>
        <v>круг</v>
      </c>
      <c r="C747" s="125" t="str">
        <f ca="1">IFERROR(__xludf.DUMMYFUNCTION("""COMPUTED_VALUE"""),"ХВГ")</f>
        <v>ХВГ</v>
      </c>
      <c r="D747" s="131">
        <f ca="1">IFERROR(__xludf.DUMMYFUNCTION("""COMPUTED_VALUE"""),22)</f>
        <v>22</v>
      </c>
      <c r="E747" s="131"/>
      <c r="F747" s="132" t="str">
        <f ca="1">IFERROR(__xludf.DUMMYFUNCTION("""COMPUTED_VALUE"""),"3ГП ГОСТ 5950/2590 отжиг")</f>
        <v>3ГП ГОСТ 5950/2590 отжиг</v>
      </c>
      <c r="G747" s="133">
        <f ca="1">IFERROR(__xludf.DUMMYFUNCTION("""COMPUTED_VALUE"""),0.21)</f>
        <v>0.21</v>
      </c>
      <c r="H747" s="133"/>
      <c r="I747" s="134">
        <f ca="1">IFERROR(__xludf.DUMMYFUNCTION("""COMPUTED_VALUE"""),530000)</f>
        <v>530000</v>
      </c>
    </row>
    <row r="748" spans="2:9" x14ac:dyDescent="0.3">
      <c r="B748" s="130" t="str">
        <f ca="1">IFERROR(__xludf.DUMMYFUNCTION("""COMPUTED_VALUE"""),"круг")</f>
        <v>круг</v>
      </c>
      <c r="C748" s="125" t="str">
        <f ca="1">IFERROR(__xludf.DUMMYFUNCTION("""COMPUTED_VALUE"""),"ХВГ")</f>
        <v>ХВГ</v>
      </c>
      <c r="D748" s="131">
        <f ca="1">IFERROR(__xludf.DUMMYFUNCTION("""COMPUTED_VALUE"""),25)</f>
        <v>25</v>
      </c>
      <c r="E748" s="131"/>
      <c r="F748" s="132" t="str">
        <f ca="1">IFERROR(__xludf.DUMMYFUNCTION("""COMPUTED_VALUE"""),"2ГП ГОСТ 5950/2590 отжиг")</f>
        <v>2ГП ГОСТ 5950/2590 отжиг</v>
      </c>
      <c r="G748" s="133">
        <f ca="1">IFERROR(__xludf.DUMMYFUNCTION("""COMPUTED_VALUE"""),0.614)</f>
        <v>0.61399999999999999</v>
      </c>
      <c r="H748" s="133"/>
      <c r="I748" s="134">
        <f ca="1">IFERROR(__xludf.DUMMYFUNCTION("""COMPUTED_VALUE"""),530000)</f>
        <v>530000</v>
      </c>
    </row>
    <row r="749" spans="2:9" x14ac:dyDescent="0.3">
      <c r="B749" s="130" t="str">
        <f ca="1">IFERROR(__xludf.DUMMYFUNCTION("""COMPUTED_VALUE"""),"круг")</f>
        <v>круг</v>
      </c>
      <c r="C749" s="125" t="str">
        <f ca="1">IFERROR(__xludf.DUMMYFUNCTION("""COMPUTED_VALUE"""),"ХВГ")</f>
        <v>ХВГ</v>
      </c>
      <c r="D749" s="131">
        <f ca="1">IFERROR(__xludf.DUMMYFUNCTION("""COMPUTED_VALUE"""),28)</f>
        <v>28</v>
      </c>
      <c r="E749" s="131"/>
      <c r="F749" s="132" t="str">
        <f ca="1">IFERROR(__xludf.DUMMYFUNCTION("""COMPUTED_VALUE"""),"2ГП ГОСТ 5950/2590 отжиг")</f>
        <v>2ГП ГОСТ 5950/2590 отжиг</v>
      </c>
      <c r="G749" s="133">
        <f ca="1">IFERROR(__xludf.DUMMYFUNCTION("""COMPUTED_VALUE"""),0.722)</f>
        <v>0.72199999999999998</v>
      </c>
      <c r="H749" s="133"/>
      <c r="I749" s="134">
        <f ca="1">IFERROR(__xludf.DUMMYFUNCTION("""COMPUTED_VALUE"""),530000)</f>
        <v>530000</v>
      </c>
    </row>
    <row r="750" spans="2:9" x14ac:dyDescent="0.3">
      <c r="B750" s="130" t="str">
        <f ca="1">IFERROR(__xludf.DUMMYFUNCTION("""COMPUTED_VALUE"""),"круг")</f>
        <v>круг</v>
      </c>
      <c r="C750" s="125" t="str">
        <f ca="1">IFERROR(__xludf.DUMMYFUNCTION("""COMPUTED_VALUE"""),"ХВГ")</f>
        <v>ХВГ</v>
      </c>
      <c r="D750" s="131">
        <f ca="1">IFERROR(__xludf.DUMMYFUNCTION("""COMPUTED_VALUE"""),30)</f>
        <v>30</v>
      </c>
      <c r="E750" s="131"/>
      <c r="F750" s="132" t="str">
        <f ca="1">IFERROR(__xludf.DUMMYFUNCTION("""COMPUTED_VALUE"""),"3ГП ГОСТ 5950/2590 отжиг")</f>
        <v>3ГП ГОСТ 5950/2590 отжиг</v>
      </c>
      <c r="G750" s="133">
        <f ca="1">IFERROR(__xludf.DUMMYFUNCTION("""COMPUTED_VALUE"""),0.66)</f>
        <v>0.66</v>
      </c>
      <c r="H750" s="133"/>
      <c r="I750" s="134">
        <f ca="1">IFERROR(__xludf.DUMMYFUNCTION("""COMPUTED_VALUE"""),420000)</f>
        <v>420000</v>
      </c>
    </row>
    <row r="751" spans="2:9" x14ac:dyDescent="0.3">
      <c r="B751" s="130" t="str">
        <f ca="1">IFERROR(__xludf.DUMMYFUNCTION("""COMPUTED_VALUE"""),"круг")</f>
        <v>круг</v>
      </c>
      <c r="C751" s="125" t="str">
        <f ca="1">IFERROR(__xludf.DUMMYFUNCTION("""COMPUTED_VALUE"""),"ХВГ")</f>
        <v>ХВГ</v>
      </c>
      <c r="D751" s="131">
        <f ca="1">IFERROR(__xludf.DUMMYFUNCTION("""COMPUTED_VALUE"""),32)</f>
        <v>32</v>
      </c>
      <c r="E751" s="131"/>
      <c r="F751" s="132" t="str">
        <f ca="1">IFERROR(__xludf.DUMMYFUNCTION("""COMPUTED_VALUE"""),"2ГП ГОСТ 5950/2590 отжиг")</f>
        <v>2ГП ГОСТ 5950/2590 отжиг</v>
      </c>
      <c r="G751" s="133">
        <f ca="1">IFERROR(__xludf.DUMMYFUNCTION("""COMPUTED_VALUE"""),0.828)</f>
        <v>0.82799999999999996</v>
      </c>
      <c r="H751" s="133"/>
      <c r="I751" s="134">
        <f ca="1">IFERROR(__xludf.DUMMYFUNCTION("""COMPUTED_VALUE"""),420000)</f>
        <v>420000</v>
      </c>
    </row>
    <row r="752" spans="2:9" x14ac:dyDescent="0.3">
      <c r="B752" s="130" t="str">
        <f ca="1">IFERROR(__xludf.DUMMYFUNCTION("""COMPUTED_VALUE"""),"круг")</f>
        <v>круг</v>
      </c>
      <c r="C752" s="125" t="str">
        <f ca="1">IFERROR(__xludf.DUMMYFUNCTION("""COMPUTED_VALUE"""),"ХВГ")</f>
        <v>ХВГ</v>
      </c>
      <c r="D752" s="131">
        <f ca="1">IFERROR(__xludf.DUMMYFUNCTION("""COMPUTED_VALUE"""),36)</f>
        <v>36</v>
      </c>
      <c r="E752" s="131"/>
      <c r="F752" s="132" t="str">
        <f ca="1">IFERROR(__xludf.DUMMYFUNCTION("""COMPUTED_VALUE"""),"2ГП ГОСТ 5950/2590 отжиг")</f>
        <v>2ГП ГОСТ 5950/2590 отжиг</v>
      </c>
      <c r="G752" s="133">
        <f ca="1">IFERROR(__xludf.DUMMYFUNCTION("""COMPUTED_VALUE"""),0.374)</f>
        <v>0.374</v>
      </c>
      <c r="H752" s="133"/>
      <c r="I752" s="134">
        <f ca="1">IFERROR(__xludf.DUMMYFUNCTION("""COMPUTED_VALUE"""),420000)</f>
        <v>420000</v>
      </c>
    </row>
    <row r="753" spans="2:9" x14ac:dyDescent="0.3">
      <c r="B753" s="130" t="str">
        <f ca="1">IFERROR(__xludf.DUMMYFUNCTION("""COMPUTED_VALUE"""),"круг")</f>
        <v>круг</v>
      </c>
      <c r="C753" s="125" t="str">
        <f ca="1">IFERROR(__xludf.DUMMYFUNCTION("""COMPUTED_VALUE"""),"ХВГ")</f>
        <v>ХВГ</v>
      </c>
      <c r="D753" s="131">
        <f ca="1">IFERROR(__xludf.DUMMYFUNCTION("""COMPUTED_VALUE"""),50)</f>
        <v>50</v>
      </c>
      <c r="E753" s="131"/>
      <c r="F753" s="132" t="str">
        <f ca="1">IFERROR(__xludf.DUMMYFUNCTION("""COMPUTED_VALUE"""),"2ГП ГОСТ 5950/2590 отжиг")</f>
        <v>2ГП ГОСТ 5950/2590 отжиг</v>
      </c>
      <c r="G753" s="133">
        <f ca="1">IFERROR(__xludf.DUMMYFUNCTION("""COMPUTED_VALUE"""),0.035)</f>
        <v>3.5000000000000003E-2</v>
      </c>
      <c r="H753" s="133"/>
      <c r="I753" s="134">
        <f ca="1">IFERROR(__xludf.DUMMYFUNCTION("""COMPUTED_VALUE"""),420000)</f>
        <v>420000</v>
      </c>
    </row>
    <row r="754" spans="2:9" x14ac:dyDescent="0.3">
      <c r="B754" s="130" t="str">
        <f ca="1">IFERROR(__xludf.DUMMYFUNCTION("""COMPUTED_VALUE"""),"круг")</f>
        <v>круг</v>
      </c>
      <c r="C754" s="125" t="str">
        <f ca="1">IFERROR(__xludf.DUMMYFUNCTION("""COMPUTED_VALUE"""),"ХВГ")</f>
        <v>ХВГ</v>
      </c>
      <c r="D754" s="131">
        <f ca="1">IFERROR(__xludf.DUMMYFUNCTION("""COMPUTED_VALUE"""),60)</f>
        <v>60</v>
      </c>
      <c r="E754" s="131"/>
      <c r="F754" s="132" t="str">
        <f ca="1">IFERROR(__xludf.DUMMYFUNCTION("""COMPUTED_VALUE"""),"2ГП ГОСТ 5950/2590 отжиг")</f>
        <v>2ГП ГОСТ 5950/2590 отжиг</v>
      </c>
      <c r="G754" s="133">
        <f ca="1">IFERROR(__xludf.DUMMYFUNCTION("""COMPUTED_VALUE"""),0.617999999999999)</f>
        <v>0.61799999999999899</v>
      </c>
      <c r="H754" s="133"/>
      <c r="I754" s="134">
        <f ca="1">IFERROR(__xludf.DUMMYFUNCTION("""COMPUTED_VALUE"""),420000)</f>
        <v>420000</v>
      </c>
    </row>
    <row r="755" spans="2:9" x14ac:dyDescent="0.3">
      <c r="B755" s="130" t="str">
        <f ca="1">IFERROR(__xludf.DUMMYFUNCTION("""COMPUTED_VALUE"""),"круг")</f>
        <v>круг</v>
      </c>
      <c r="C755" s="125" t="str">
        <f ca="1">IFERROR(__xludf.DUMMYFUNCTION("""COMPUTED_VALUE"""),"ХВГ")</f>
        <v>ХВГ</v>
      </c>
      <c r="D755" s="131">
        <f ca="1">IFERROR(__xludf.DUMMYFUNCTION("""COMPUTED_VALUE"""),65)</f>
        <v>65</v>
      </c>
      <c r="E755" s="131"/>
      <c r="F755" s="132" t="str">
        <f ca="1">IFERROR(__xludf.DUMMYFUNCTION("""COMPUTED_VALUE"""),"2ГП ГОСТ 5950/2590 отжиг")</f>
        <v>2ГП ГОСТ 5950/2590 отжиг</v>
      </c>
      <c r="G755" s="133">
        <f ca="1">IFERROR(__xludf.DUMMYFUNCTION("""COMPUTED_VALUE"""),1.60299999999999)</f>
        <v>1.60299999999999</v>
      </c>
      <c r="H755" s="133"/>
      <c r="I755" s="134">
        <f ca="1">IFERROR(__xludf.DUMMYFUNCTION("""COMPUTED_VALUE"""),420000)</f>
        <v>420000</v>
      </c>
    </row>
    <row r="756" spans="2:9" x14ac:dyDescent="0.3">
      <c r="B756" s="130" t="str">
        <f ca="1">IFERROR(__xludf.DUMMYFUNCTION("""COMPUTED_VALUE"""),"круг")</f>
        <v>круг</v>
      </c>
      <c r="C756" s="125" t="str">
        <f ca="1">IFERROR(__xludf.DUMMYFUNCTION("""COMPUTED_VALUE"""),"ХВГ")</f>
        <v>ХВГ</v>
      </c>
      <c r="D756" s="131">
        <f ca="1">IFERROR(__xludf.DUMMYFUNCTION("""COMPUTED_VALUE"""),65)</f>
        <v>65</v>
      </c>
      <c r="E756" s="131"/>
      <c r="F756" s="132" t="str">
        <f ca="1">IFERROR(__xludf.DUMMYFUNCTION("""COMPUTED_VALUE"""),"2ГП ГОСТ 5950/2590")</f>
        <v>2ГП ГОСТ 5950/2590</v>
      </c>
      <c r="G756" s="133">
        <f ca="1">IFERROR(__xludf.DUMMYFUNCTION("""COMPUTED_VALUE"""),1.367)</f>
        <v>1.367</v>
      </c>
      <c r="H756" s="133"/>
      <c r="I756" s="134">
        <f ca="1">IFERROR(__xludf.DUMMYFUNCTION("""COMPUTED_VALUE"""),420000)</f>
        <v>420000</v>
      </c>
    </row>
    <row r="757" spans="2:9" x14ac:dyDescent="0.3">
      <c r="B757" s="130" t="str">
        <f ca="1">IFERROR(__xludf.DUMMYFUNCTION("""COMPUTED_VALUE"""),"круг")</f>
        <v>круг</v>
      </c>
      <c r="C757" s="125" t="str">
        <f ca="1">IFERROR(__xludf.DUMMYFUNCTION("""COMPUTED_VALUE"""),"ХВГ")</f>
        <v>ХВГ</v>
      </c>
      <c r="D757" s="131">
        <f ca="1">IFERROR(__xludf.DUMMYFUNCTION("""COMPUTED_VALUE"""),70)</f>
        <v>70</v>
      </c>
      <c r="E757" s="131"/>
      <c r="F757" s="132" t="str">
        <f ca="1">IFERROR(__xludf.DUMMYFUNCTION("""COMPUTED_VALUE"""),"2ГП ГОСТ 5950/2590 отжиг")</f>
        <v>2ГП ГОСТ 5950/2590 отжиг</v>
      </c>
      <c r="G757" s="133">
        <f ca="1">IFERROR(__xludf.DUMMYFUNCTION("""COMPUTED_VALUE"""),0.008)</f>
        <v>8.0000000000000002E-3</v>
      </c>
      <c r="H757" s="133"/>
      <c r="I757" s="134">
        <f ca="1">IFERROR(__xludf.DUMMYFUNCTION("""COMPUTED_VALUE"""),420000)</f>
        <v>420000</v>
      </c>
    </row>
    <row r="758" spans="2:9" x14ac:dyDescent="0.3">
      <c r="B758" s="130" t="str">
        <f ca="1">IFERROR(__xludf.DUMMYFUNCTION("""COMPUTED_VALUE"""),"круг")</f>
        <v>круг</v>
      </c>
      <c r="C758" s="125" t="str">
        <f ca="1">IFERROR(__xludf.DUMMYFUNCTION("""COMPUTED_VALUE"""),"ХВГ")</f>
        <v>ХВГ</v>
      </c>
      <c r="D758" s="131">
        <f ca="1">IFERROR(__xludf.DUMMYFUNCTION("""COMPUTED_VALUE"""),80)</f>
        <v>80</v>
      </c>
      <c r="E758" s="131"/>
      <c r="F758" s="132" t="str">
        <f ca="1">IFERROR(__xludf.DUMMYFUNCTION("""COMPUTED_VALUE"""),"2ГП ГОСТ 5950/2590 отжиг")</f>
        <v>2ГП ГОСТ 5950/2590 отжиг</v>
      </c>
      <c r="G758" s="133">
        <f ca="1">IFERROR(__xludf.DUMMYFUNCTION("""COMPUTED_VALUE"""),0.304)</f>
        <v>0.30399999999999999</v>
      </c>
      <c r="H758" s="133"/>
      <c r="I758" s="134">
        <f ca="1">IFERROR(__xludf.DUMMYFUNCTION("""COMPUTED_VALUE"""),420000)</f>
        <v>420000</v>
      </c>
    </row>
    <row r="759" spans="2:9" x14ac:dyDescent="0.3">
      <c r="B759" s="130" t="str">
        <f ca="1">IFERROR(__xludf.DUMMYFUNCTION("""COMPUTED_VALUE"""),"круг")</f>
        <v>круг</v>
      </c>
      <c r="C759" s="125" t="str">
        <f ca="1">IFERROR(__xludf.DUMMYFUNCTION("""COMPUTED_VALUE"""),"ХВГ")</f>
        <v>ХВГ</v>
      </c>
      <c r="D759" s="131">
        <f ca="1">IFERROR(__xludf.DUMMYFUNCTION("""COMPUTED_VALUE"""),80)</f>
        <v>80</v>
      </c>
      <c r="E759" s="131"/>
      <c r="F759" s="132" t="str">
        <f ca="1">IFERROR(__xludf.DUMMYFUNCTION("""COMPUTED_VALUE"""),"2ГП ГОСТ 5950/2590 отжиг")</f>
        <v>2ГП ГОСТ 5950/2590 отжиг</v>
      </c>
      <c r="G759" s="133">
        <f ca="1">IFERROR(__xludf.DUMMYFUNCTION("""COMPUTED_VALUE"""),0.942)</f>
        <v>0.94199999999999995</v>
      </c>
      <c r="H759" s="133"/>
      <c r="I759" s="134">
        <f ca="1">IFERROR(__xludf.DUMMYFUNCTION("""COMPUTED_VALUE"""),420000)</f>
        <v>420000</v>
      </c>
    </row>
    <row r="760" spans="2:9" x14ac:dyDescent="0.3">
      <c r="B760" s="130" t="str">
        <f ca="1">IFERROR(__xludf.DUMMYFUNCTION("""COMPUTED_VALUE"""),"круг")</f>
        <v>круг</v>
      </c>
      <c r="C760" s="125" t="str">
        <f ca="1">IFERROR(__xludf.DUMMYFUNCTION("""COMPUTED_VALUE"""),"ХВГ")</f>
        <v>ХВГ</v>
      </c>
      <c r="D760" s="131">
        <f ca="1">IFERROR(__xludf.DUMMYFUNCTION("""COMPUTED_VALUE"""),80)</f>
        <v>80</v>
      </c>
      <c r="E760" s="131"/>
      <c r="F760" s="132" t="str">
        <f ca="1">IFERROR(__xludf.DUMMYFUNCTION("""COMPUTED_VALUE"""),"2ГП ГОСТ 5950/2590")</f>
        <v>2ГП ГОСТ 5950/2590</v>
      </c>
      <c r="G760" s="133">
        <f ca="1">IFERROR(__xludf.DUMMYFUNCTION("""COMPUTED_VALUE"""),0.708)</f>
        <v>0.70799999999999996</v>
      </c>
      <c r="H760" s="133"/>
      <c r="I760" s="134">
        <f ca="1">IFERROR(__xludf.DUMMYFUNCTION("""COMPUTED_VALUE"""),420000)</f>
        <v>420000</v>
      </c>
    </row>
    <row r="761" spans="2:9" x14ac:dyDescent="0.3">
      <c r="B761" s="130" t="str">
        <f ca="1">IFERROR(__xludf.DUMMYFUNCTION("""COMPUTED_VALUE"""),"круг")</f>
        <v>круг</v>
      </c>
      <c r="C761" s="125" t="str">
        <f ca="1">IFERROR(__xludf.DUMMYFUNCTION("""COMPUTED_VALUE"""),"ХВГ")</f>
        <v>ХВГ</v>
      </c>
      <c r="D761" s="131">
        <f ca="1">IFERROR(__xludf.DUMMYFUNCTION("""COMPUTED_VALUE"""),90)</f>
        <v>90</v>
      </c>
      <c r="E761" s="131"/>
      <c r="F761" s="132" t="str">
        <f ca="1">IFERROR(__xludf.DUMMYFUNCTION("""COMPUTED_VALUE"""),"2ГП ГОСТ 5950/2590 отжиг, обточка")</f>
        <v>2ГП ГОСТ 5950/2590 отжиг, обточка</v>
      </c>
      <c r="G761" s="133">
        <f ca="1">IFERROR(__xludf.DUMMYFUNCTION("""COMPUTED_VALUE"""),1.407)</f>
        <v>1.407</v>
      </c>
      <c r="H761" s="133"/>
      <c r="I761" s="134">
        <f ca="1">IFERROR(__xludf.DUMMYFUNCTION("""COMPUTED_VALUE"""),420000)</f>
        <v>420000</v>
      </c>
    </row>
    <row r="762" spans="2:9" x14ac:dyDescent="0.3">
      <c r="B762" s="130" t="str">
        <f ca="1">IFERROR(__xludf.DUMMYFUNCTION("""COMPUTED_VALUE"""),"круг")</f>
        <v>круг</v>
      </c>
      <c r="C762" s="125" t="str">
        <f ca="1">IFERROR(__xludf.DUMMYFUNCTION("""COMPUTED_VALUE"""),"ХВГ")</f>
        <v>ХВГ</v>
      </c>
      <c r="D762" s="131">
        <f ca="1">IFERROR(__xludf.DUMMYFUNCTION("""COMPUTED_VALUE"""),100)</f>
        <v>100</v>
      </c>
      <c r="E762" s="131"/>
      <c r="F762" s="132" t="str">
        <f ca="1">IFERROR(__xludf.DUMMYFUNCTION("""COMPUTED_VALUE"""),"2ГП ГОСТ 5950/2590 отжиг, обточка")</f>
        <v>2ГП ГОСТ 5950/2590 отжиг, обточка</v>
      </c>
      <c r="G762" s="133">
        <f ca="1">IFERROR(__xludf.DUMMYFUNCTION("""COMPUTED_VALUE"""),2.261)</f>
        <v>2.2610000000000001</v>
      </c>
      <c r="H762" s="133"/>
      <c r="I762" s="134">
        <f ca="1">IFERROR(__xludf.DUMMYFUNCTION("""COMPUTED_VALUE"""),420000)</f>
        <v>420000</v>
      </c>
    </row>
    <row r="763" spans="2:9" x14ac:dyDescent="0.3">
      <c r="B763" s="130" t="str">
        <f ca="1">IFERROR(__xludf.DUMMYFUNCTION("""COMPUTED_VALUE"""),"круг")</f>
        <v>круг</v>
      </c>
      <c r="C763" s="125" t="str">
        <f ca="1">IFERROR(__xludf.DUMMYFUNCTION("""COMPUTED_VALUE"""),"ХВГ")</f>
        <v>ХВГ</v>
      </c>
      <c r="D763" s="131">
        <f ca="1">IFERROR(__xludf.DUMMYFUNCTION("""COMPUTED_VALUE"""),100)</f>
        <v>100</v>
      </c>
      <c r="E763" s="131"/>
      <c r="F763" s="132" t="str">
        <f ca="1">IFERROR(__xludf.DUMMYFUNCTION("""COMPUTED_VALUE"""),"2ГП ГОСТ 5950/2590")</f>
        <v>2ГП ГОСТ 5950/2590</v>
      </c>
      <c r="G763" s="133">
        <f ca="1">IFERROR(__xludf.DUMMYFUNCTION("""COMPUTED_VALUE"""),0.068)</f>
        <v>6.8000000000000005E-2</v>
      </c>
      <c r="H763" s="133"/>
      <c r="I763" s="134">
        <f ca="1">IFERROR(__xludf.DUMMYFUNCTION("""COMPUTED_VALUE"""),420000)</f>
        <v>420000</v>
      </c>
    </row>
    <row r="764" spans="2:9" x14ac:dyDescent="0.3">
      <c r="B764" s="130" t="str">
        <f ca="1">IFERROR(__xludf.DUMMYFUNCTION("""COMPUTED_VALUE"""),"круг")</f>
        <v>круг</v>
      </c>
      <c r="C764" s="125" t="str">
        <f ca="1">IFERROR(__xludf.DUMMYFUNCTION("""COMPUTED_VALUE"""),"ХВГ")</f>
        <v>ХВГ</v>
      </c>
      <c r="D764" s="131">
        <f ca="1">IFERROR(__xludf.DUMMYFUNCTION("""COMPUTED_VALUE"""),110)</f>
        <v>110</v>
      </c>
      <c r="E764" s="131"/>
      <c r="F764" s="132" t="str">
        <f ca="1">IFERROR(__xludf.DUMMYFUNCTION("""COMPUTED_VALUE"""),"2ГП ГОСТ 5950/2590 отжиг, обточка")</f>
        <v>2ГП ГОСТ 5950/2590 отжиг, обточка</v>
      </c>
      <c r="G764" s="133">
        <f ca="1">IFERROR(__xludf.DUMMYFUNCTION("""COMPUTED_VALUE"""),0.675)</f>
        <v>0.67500000000000004</v>
      </c>
      <c r="H764" s="133"/>
      <c r="I764" s="134">
        <f ca="1">IFERROR(__xludf.DUMMYFUNCTION("""COMPUTED_VALUE"""),420000)</f>
        <v>420000</v>
      </c>
    </row>
    <row r="765" spans="2:9" x14ac:dyDescent="0.3">
      <c r="B765" s="130" t="str">
        <f ca="1">IFERROR(__xludf.DUMMYFUNCTION("""COMPUTED_VALUE"""),"круг")</f>
        <v>круг</v>
      </c>
      <c r="C765" s="125" t="str">
        <f ca="1">IFERROR(__xludf.DUMMYFUNCTION("""COMPUTED_VALUE"""),"ХВГ")</f>
        <v>ХВГ</v>
      </c>
      <c r="D765" s="131">
        <f ca="1">IFERROR(__xludf.DUMMYFUNCTION("""COMPUTED_VALUE"""),120)</f>
        <v>120</v>
      </c>
      <c r="E765" s="131"/>
      <c r="F765" s="132" t="str">
        <f ca="1">IFERROR(__xludf.DUMMYFUNCTION("""COMPUTED_VALUE"""),"2ГП ГОСТ 5950/2590 отжиг, обточка")</f>
        <v>2ГП ГОСТ 5950/2590 отжиг, обточка</v>
      </c>
      <c r="G765" s="133">
        <f ca="1">IFERROR(__xludf.DUMMYFUNCTION("""COMPUTED_VALUE"""),2.026)</f>
        <v>2.0259999999999998</v>
      </c>
      <c r="H765" s="133"/>
      <c r="I765" s="134">
        <f ca="1">IFERROR(__xludf.DUMMYFUNCTION("""COMPUTED_VALUE"""),420000)</f>
        <v>420000</v>
      </c>
    </row>
    <row r="766" spans="2:9" x14ac:dyDescent="0.3">
      <c r="B766" s="130" t="str">
        <f ca="1">IFERROR(__xludf.DUMMYFUNCTION("""COMPUTED_VALUE"""),"круг")</f>
        <v>круг</v>
      </c>
      <c r="C766" s="125" t="str">
        <f ca="1">IFERROR(__xludf.DUMMYFUNCTION("""COMPUTED_VALUE"""),"ХВГ")</f>
        <v>ХВГ</v>
      </c>
      <c r="D766" s="131">
        <f ca="1">IFERROR(__xludf.DUMMYFUNCTION("""COMPUTED_VALUE"""),130)</f>
        <v>130</v>
      </c>
      <c r="E766" s="131"/>
      <c r="F766" s="132" t="str">
        <f ca="1">IFERROR(__xludf.DUMMYFUNCTION("""COMPUTED_VALUE"""),"2ГП ГОСТ 5950/2590 отжиг, обточка")</f>
        <v>2ГП ГОСТ 5950/2590 отжиг, обточка</v>
      </c>
      <c r="G766" s="133">
        <f ca="1">IFERROR(__xludf.DUMMYFUNCTION("""COMPUTED_VALUE"""),1.057)</f>
        <v>1.0569999999999999</v>
      </c>
      <c r="H766" s="133"/>
      <c r="I766" s="134">
        <f ca="1">IFERROR(__xludf.DUMMYFUNCTION("""COMPUTED_VALUE"""),420000)</f>
        <v>420000</v>
      </c>
    </row>
    <row r="767" spans="2:9" x14ac:dyDescent="0.3">
      <c r="B767" s="130" t="str">
        <f ca="1">IFERROR(__xludf.DUMMYFUNCTION("""COMPUTED_VALUE"""),"круг")</f>
        <v>круг</v>
      </c>
      <c r="C767" s="125" t="str">
        <f ca="1">IFERROR(__xludf.DUMMYFUNCTION("""COMPUTED_VALUE"""),"ХВГ")</f>
        <v>ХВГ</v>
      </c>
      <c r="D767" s="131">
        <f ca="1">IFERROR(__xludf.DUMMYFUNCTION("""COMPUTED_VALUE"""),140)</f>
        <v>140</v>
      </c>
      <c r="E767" s="131"/>
      <c r="F767" s="132" t="str">
        <f ca="1">IFERROR(__xludf.DUMMYFUNCTION("""COMPUTED_VALUE"""),"2ГП ГОСТ 5950/2590")</f>
        <v>2ГП ГОСТ 5950/2590</v>
      </c>
      <c r="G767" s="133">
        <f ca="1">IFERROR(__xludf.DUMMYFUNCTION("""COMPUTED_VALUE"""),3.855)</f>
        <v>3.855</v>
      </c>
      <c r="H767" s="133"/>
      <c r="I767" s="134">
        <f ca="1">IFERROR(__xludf.DUMMYFUNCTION("""COMPUTED_VALUE"""),420000)</f>
        <v>420000</v>
      </c>
    </row>
    <row r="768" spans="2:9" x14ac:dyDescent="0.3">
      <c r="B768" s="130" t="str">
        <f ca="1">IFERROR(__xludf.DUMMYFUNCTION("""COMPUTED_VALUE"""),"круг")</f>
        <v>круг</v>
      </c>
      <c r="C768" s="125" t="str">
        <f ca="1">IFERROR(__xludf.DUMMYFUNCTION("""COMPUTED_VALUE"""),"ХВГ")</f>
        <v>ХВГ</v>
      </c>
      <c r="D768" s="131">
        <f ca="1">IFERROR(__xludf.DUMMYFUNCTION("""COMPUTED_VALUE"""),150)</f>
        <v>150</v>
      </c>
      <c r="E768" s="131"/>
      <c r="F768" s="132" t="str">
        <f ca="1">IFERROR(__xludf.DUMMYFUNCTION("""COMPUTED_VALUE"""),"2ГП ГОСТ 5950/2590")</f>
        <v>2ГП ГОСТ 5950/2590</v>
      </c>
      <c r="G768" s="133">
        <f ca="1">IFERROR(__xludf.DUMMYFUNCTION("""COMPUTED_VALUE"""),0.0679999999999996)</f>
        <v>6.7999999999999602E-2</v>
      </c>
      <c r="H768" s="133"/>
      <c r="I768" s="134">
        <f ca="1">IFERROR(__xludf.DUMMYFUNCTION("""COMPUTED_VALUE"""),420000)</f>
        <v>420000</v>
      </c>
    </row>
    <row r="769" spans="2:9" x14ac:dyDescent="0.3">
      <c r="B769" s="130" t="str">
        <f ca="1">IFERROR(__xludf.DUMMYFUNCTION("""COMPUTED_VALUE"""),"круг")</f>
        <v>круг</v>
      </c>
      <c r="C769" s="125" t="str">
        <f ca="1">IFERROR(__xludf.DUMMYFUNCTION("""COMPUTED_VALUE"""),"ХВГ")</f>
        <v>ХВГ</v>
      </c>
      <c r="D769" s="131">
        <f ca="1">IFERROR(__xludf.DUMMYFUNCTION("""COMPUTED_VALUE"""),150)</f>
        <v>150</v>
      </c>
      <c r="E769" s="131"/>
      <c r="F769" s="132" t="str">
        <f ca="1">IFERROR(__xludf.DUMMYFUNCTION("""COMPUTED_VALUE"""),"3ГП ГОСТ 5950/2590 отжиг")</f>
        <v>3ГП ГОСТ 5950/2590 отжиг</v>
      </c>
      <c r="G769" s="133">
        <f ca="1">IFERROR(__xludf.DUMMYFUNCTION("""COMPUTED_VALUE"""),0.68)</f>
        <v>0.68</v>
      </c>
      <c r="H769" s="133"/>
      <c r="I769" s="134">
        <f ca="1">IFERROR(__xludf.DUMMYFUNCTION("""COMPUTED_VALUE"""),420000)</f>
        <v>420000</v>
      </c>
    </row>
    <row r="770" spans="2:9" x14ac:dyDescent="0.3">
      <c r="B770" s="130" t="str">
        <f ca="1">IFERROR(__xludf.DUMMYFUNCTION("""COMPUTED_VALUE"""),"круг")</f>
        <v>круг</v>
      </c>
      <c r="C770" s="125" t="str">
        <f ca="1">IFERROR(__xludf.DUMMYFUNCTION("""COMPUTED_VALUE"""),"ХВГ")</f>
        <v>ХВГ</v>
      </c>
      <c r="D770" s="131">
        <f ca="1">IFERROR(__xludf.DUMMYFUNCTION("""COMPUTED_VALUE"""),150)</f>
        <v>150</v>
      </c>
      <c r="E770" s="131"/>
      <c r="F770" s="132" t="str">
        <f ca="1">IFERROR(__xludf.DUMMYFUNCTION("""COMPUTED_VALUE"""),"3ГП ГОСТ 5950/2590 отжиг")</f>
        <v>3ГП ГОСТ 5950/2590 отжиг</v>
      </c>
      <c r="G770" s="133">
        <f ca="1">IFERROR(__xludf.DUMMYFUNCTION("""COMPUTED_VALUE"""),2.085)</f>
        <v>2.085</v>
      </c>
      <c r="H770" s="133"/>
      <c r="I770" s="134">
        <f ca="1">IFERROR(__xludf.DUMMYFUNCTION("""COMPUTED_VALUE"""),420000)</f>
        <v>420000</v>
      </c>
    </row>
    <row r="771" spans="2:9" x14ac:dyDescent="0.3">
      <c r="B771" s="130" t="str">
        <f ca="1">IFERROR(__xludf.DUMMYFUNCTION("""COMPUTED_VALUE"""),"круг")</f>
        <v>круг</v>
      </c>
      <c r="C771" s="125" t="str">
        <f ca="1">IFERROR(__xludf.DUMMYFUNCTION("""COMPUTED_VALUE"""),"ХВГ")</f>
        <v>ХВГ</v>
      </c>
      <c r="D771" s="131">
        <f ca="1">IFERROR(__xludf.DUMMYFUNCTION("""COMPUTED_VALUE"""),160)</f>
        <v>160</v>
      </c>
      <c r="E771" s="131"/>
      <c r="F771" s="132" t="str">
        <f ca="1">IFERROR(__xludf.DUMMYFUNCTION("""COMPUTED_VALUE"""),"2ГП ГОСТ 5950/2590")</f>
        <v>2ГП ГОСТ 5950/2590</v>
      </c>
      <c r="G771" s="133">
        <f ca="1">IFERROR(__xludf.DUMMYFUNCTION("""COMPUTED_VALUE"""),2.354)</f>
        <v>2.3540000000000001</v>
      </c>
      <c r="H771" s="133"/>
      <c r="I771" s="134">
        <f ca="1">IFERROR(__xludf.DUMMYFUNCTION("""COMPUTED_VALUE"""),420000)</f>
        <v>420000</v>
      </c>
    </row>
    <row r="772" spans="2:9" x14ac:dyDescent="0.3">
      <c r="B772" s="130" t="str">
        <f ca="1">IFERROR(__xludf.DUMMYFUNCTION("""COMPUTED_VALUE"""),"круг")</f>
        <v>круг</v>
      </c>
      <c r="C772" s="125" t="str">
        <f ca="1">IFERROR(__xludf.DUMMYFUNCTION("""COMPUTED_VALUE"""),"ХВГ")</f>
        <v>ХВГ</v>
      </c>
      <c r="D772" s="131">
        <f ca="1">IFERROR(__xludf.DUMMYFUNCTION("""COMPUTED_VALUE"""),170)</f>
        <v>170</v>
      </c>
      <c r="E772" s="131"/>
      <c r="F772" s="132" t="str">
        <f ca="1">IFERROR(__xludf.DUMMYFUNCTION("""COMPUTED_VALUE"""),"2ГП ГОСТ 5950/2590")</f>
        <v>2ГП ГОСТ 5950/2590</v>
      </c>
      <c r="G772" s="133">
        <f ca="1">IFERROR(__xludf.DUMMYFUNCTION("""COMPUTED_VALUE"""),0.448)</f>
        <v>0.44800000000000001</v>
      </c>
      <c r="H772" s="133"/>
      <c r="I772" s="134">
        <f ca="1">IFERROR(__xludf.DUMMYFUNCTION("""COMPUTED_VALUE"""),420000)</f>
        <v>420000</v>
      </c>
    </row>
    <row r="773" spans="2:9" x14ac:dyDescent="0.3">
      <c r="B773" s="130" t="str">
        <f ca="1">IFERROR(__xludf.DUMMYFUNCTION("""COMPUTED_VALUE"""),"круг")</f>
        <v>круг</v>
      </c>
      <c r="C773" s="125" t="str">
        <f ca="1">IFERROR(__xludf.DUMMYFUNCTION("""COMPUTED_VALUE"""),"ХВГ")</f>
        <v>ХВГ</v>
      </c>
      <c r="D773" s="131">
        <f ca="1">IFERROR(__xludf.DUMMYFUNCTION("""COMPUTED_VALUE"""),180)</f>
        <v>180</v>
      </c>
      <c r="E773" s="131"/>
      <c r="F773" s="132" t="str">
        <f ca="1">IFERROR(__xludf.DUMMYFUNCTION("""COMPUTED_VALUE"""),"2ГП ГОСТ 5950/2590")</f>
        <v>2ГП ГОСТ 5950/2590</v>
      </c>
      <c r="G773" s="133">
        <f ca="1">IFERROR(__xludf.DUMMYFUNCTION("""COMPUTED_VALUE"""),0.0190000000000001)</f>
        <v>1.90000000000001E-2</v>
      </c>
      <c r="H773" s="133"/>
      <c r="I773" s="134">
        <f ca="1">IFERROR(__xludf.DUMMYFUNCTION("""COMPUTED_VALUE"""),420000)</f>
        <v>420000</v>
      </c>
    </row>
    <row r="774" spans="2:9" x14ac:dyDescent="0.3">
      <c r="B774" s="130" t="str">
        <f ca="1">IFERROR(__xludf.DUMMYFUNCTION("""COMPUTED_VALUE"""),"круг")</f>
        <v>круг</v>
      </c>
      <c r="C774" s="125" t="str">
        <f ca="1">IFERROR(__xludf.DUMMYFUNCTION("""COMPUTED_VALUE"""),"ХВГ")</f>
        <v>ХВГ</v>
      </c>
      <c r="D774" s="131">
        <f ca="1">IFERROR(__xludf.DUMMYFUNCTION("""COMPUTED_VALUE"""),200)</f>
        <v>200</v>
      </c>
      <c r="E774" s="131"/>
      <c r="F774" s="132" t="str">
        <f ca="1">IFERROR(__xludf.DUMMYFUNCTION("""COMPUTED_VALUE"""),"3ГП ГОСТ 5950/2590 отжиг")</f>
        <v>3ГП ГОСТ 5950/2590 отжиг</v>
      </c>
      <c r="G774" s="133">
        <f ca="1">IFERROR(__xludf.DUMMYFUNCTION("""COMPUTED_VALUE"""),0.516)</f>
        <v>0.51600000000000001</v>
      </c>
      <c r="H774" s="133"/>
      <c r="I774" s="134">
        <f ca="1">IFERROR(__xludf.DUMMYFUNCTION("""COMPUTED_VALUE"""),420000)</f>
        <v>420000</v>
      </c>
    </row>
    <row r="775" spans="2:9" x14ac:dyDescent="0.3">
      <c r="B775" s="130" t="str">
        <f ca="1">IFERROR(__xludf.DUMMYFUNCTION("""COMPUTED_VALUE"""),"круг")</f>
        <v>круг</v>
      </c>
      <c r="C775" s="125" t="str">
        <f ca="1">IFERROR(__xludf.DUMMYFUNCTION("""COMPUTED_VALUE"""),"ХВГ")</f>
        <v>ХВГ</v>
      </c>
      <c r="D775" s="131">
        <f ca="1">IFERROR(__xludf.DUMMYFUNCTION("""COMPUTED_VALUE"""),200)</f>
        <v>200</v>
      </c>
      <c r="E775" s="131"/>
      <c r="F775" s="132" t="str">
        <f ca="1">IFERROR(__xludf.DUMMYFUNCTION("""COMPUTED_VALUE"""),"2ГП ГОСТ 5950/2590")</f>
        <v>2ГП ГОСТ 5950/2590</v>
      </c>
      <c r="G775" s="133">
        <f ca="1">IFERROR(__xludf.DUMMYFUNCTION("""COMPUTED_VALUE"""),0.0820000000000003)</f>
        <v>8.2000000000000295E-2</v>
      </c>
      <c r="H775" s="133"/>
      <c r="I775" s="134">
        <f ca="1">IFERROR(__xludf.DUMMYFUNCTION("""COMPUTED_VALUE"""),420000)</f>
        <v>420000</v>
      </c>
    </row>
    <row r="776" spans="2:9" x14ac:dyDescent="0.3">
      <c r="B776" s="130" t="str">
        <f ca="1">IFERROR(__xludf.DUMMYFUNCTION("""COMPUTED_VALUE"""),"круг ков")</f>
        <v>круг ков</v>
      </c>
      <c r="C776" s="125" t="str">
        <f ca="1">IFERROR(__xludf.DUMMYFUNCTION("""COMPUTED_VALUE"""),"ХВГ")</f>
        <v>ХВГ</v>
      </c>
      <c r="D776" s="131">
        <f ca="1">IFERROR(__xludf.DUMMYFUNCTION("""COMPUTED_VALUE"""),250)</f>
        <v>250</v>
      </c>
      <c r="E776" s="131"/>
      <c r="F776" s="132" t="str">
        <f ca="1">IFERROR(__xludf.DUMMYFUNCTION("""COMPUTED_VALUE"""),"для гор. обр., ")</f>
        <v xml:space="preserve">для гор. обр., </v>
      </c>
      <c r="G776" s="133">
        <f ca="1">IFERROR(__xludf.DUMMYFUNCTION("""COMPUTED_VALUE"""),0.784)</f>
        <v>0.78400000000000003</v>
      </c>
      <c r="H776" s="133"/>
      <c r="I776" s="134">
        <f ca="1">IFERROR(__xludf.DUMMYFUNCTION("""COMPUTED_VALUE"""),420000)</f>
        <v>420000</v>
      </c>
    </row>
    <row r="777" spans="2:9" x14ac:dyDescent="0.3">
      <c r="B777" s="130" t="str">
        <f ca="1">IFERROR(__xludf.DUMMYFUNCTION("""COMPUTED_VALUE"""),"круг ков")</f>
        <v>круг ков</v>
      </c>
      <c r="C777" s="125" t="str">
        <f ca="1">IFERROR(__xludf.DUMMYFUNCTION("""COMPUTED_VALUE"""),"ХВГ")</f>
        <v>ХВГ</v>
      </c>
      <c r="D777" s="131">
        <f ca="1">IFERROR(__xludf.DUMMYFUNCTION("""COMPUTED_VALUE"""),250)</f>
        <v>250</v>
      </c>
      <c r="E777" s="131"/>
      <c r="F777" s="132" t="str">
        <f ca="1">IFERROR(__xludf.DUMMYFUNCTION("""COMPUTED_VALUE"""),"для гор. обр., ")</f>
        <v xml:space="preserve">для гор. обр., </v>
      </c>
      <c r="G777" s="133">
        <f ca="1">IFERROR(__xludf.DUMMYFUNCTION("""COMPUTED_VALUE"""),0.975)</f>
        <v>0.97499999999999998</v>
      </c>
      <c r="H777" s="133"/>
      <c r="I777" s="134">
        <f ca="1">IFERROR(__xludf.DUMMYFUNCTION("""COMPUTED_VALUE"""),420000)</f>
        <v>420000</v>
      </c>
    </row>
    <row r="778" spans="2:9" x14ac:dyDescent="0.3">
      <c r="B778" s="130" t="str">
        <f ca="1">IFERROR(__xludf.DUMMYFUNCTION("""COMPUTED_VALUE"""),"круг ков")</f>
        <v>круг ков</v>
      </c>
      <c r="C778" s="125" t="str">
        <f ca="1">IFERROR(__xludf.DUMMYFUNCTION("""COMPUTED_VALUE"""),"ХВГ")</f>
        <v>ХВГ</v>
      </c>
      <c r="D778" s="131">
        <f ca="1">IFERROR(__xludf.DUMMYFUNCTION("""COMPUTED_VALUE"""),280)</f>
        <v>280</v>
      </c>
      <c r="E778" s="131"/>
      <c r="F778" s="132" t="str">
        <f ca="1">IFERROR(__xludf.DUMMYFUNCTION("""COMPUTED_VALUE"""),"для гор. обр., ")</f>
        <v xml:space="preserve">для гор. обр., </v>
      </c>
      <c r="G778" s="133">
        <f ca="1">IFERROR(__xludf.DUMMYFUNCTION("""COMPUTED_VALUE"""),0.103)</f>
        <v>0.10299999999999999</v>
      </c>
      <c r="H778" s="133"/>
      <c r="I778" s="134">
        <f ca="1">IFERROR(__xludf.DUMMYFUNCTION("""COMPUTED_VALUE"""),420000)</f>
        <v>420000</v>
      </c>
    </row>
    <row r="779" spans="2:9" x14ac:dyDescent="0.3">
      <c r="B779" s="130" t="str">
        <f ca="1">IFERROR(__xludf.DUMMYFUNCTION("""COMPUTED_VALUE"""),"круг ков")</f>
        <v>круг ков</v>
      </c>
      <c r="C779" s="125" t="str">
        <f ca="1">IFERROR(__xludf.DUMMYFUNCTION("""COMPUTED_VALUE"""),"ХВГ")</f>
        <v>ХВГ</v>
      </c>
      <c r="D779" s="131">
        <f ca="1">IFERROR(__xludf.DUMMYFUNCTION("""COMPUTED_VALUE"""),300)</f>
        <v>300</v>
      </c>
      <c r="E779" s="131"/>
      <c r="F779" s="132" t="str">
        <f ca="1">IFERROR(__xludf.DUMMYFUNCTION("""COMPUTED_VALUE"""),"для гор. обр., ")</f>
        <v xml:space="preserve">для гор. обр., </v>
      </c>
      <c r="G779" s="133">
        <f ca="1">IFERROR(__xludf.DUMMYFUNCTION("""COMPUTED_VALUE"""),1.157)</f>
        <v>1.157</v>
      </c>
      <c r="H779" s="133"/>
      <c r="I779" s="134">
        <f ca="1">IFERROR(__xludf.DUMMYFUNCTION("""COMPUTED_VALUE"""),420000)</f>
        <v>420000</v>
      </c>
    </row>
    <row r="780" spans="2:9" x14ac:dyDescent="0.3">
      <c r="B780" s="130" t="str">
        <f ca="1">IFERROR(__xludf.DUMMYFUNCTION("""COMPUTED_VALUE"""),"круг")</f>
        <v>круг</v>
      </c>
      <c r="C780" s="125" t="str">
        <f ca="1">IFERROR(__xludf.DUMMYFUNCTION("""COMPUTED_VALUE"""),"38хм")</f>
        <v>38хм</v>
      </c>
      <c r="D780" s="131">
        <f ca="1">IFERROR(__xludf.DUMMYFUNCTION("""COMPUTED_VALUE"""),10)</f>
        <v>10</v>
      </c>
      <c r="E780" s="131"/>
      <c r="F780" s="132" t="str">
        <f ca="1">IFERROR(__xludf.DUMMYFUNCTION("""COMPUTED_VALUE"""),"4950-6000, 2ГП")</f>
        <v>4950-6000, 2ГП</v>
      </c>
      <c r="G780" s="133">
        <f ca="1">IFERROR(__xludf.DUMMYFUNCTION("""COMPUTED_VALUE"""),1.51899999999999)</f>
        <v>1.5189999999999899</v>
      </c>
      <c r="H780" s="133"/>
      <c r="I780" s="134">
        <f ca="1">IFERROR(__xludf.DUMMYFUNCTION("""COMPUTED_VALUE"""),155000)</f>
        <v>155000</v>
      </c>
    </row>
    <row r="781" spans="2:9" x14ac:dyDescent="0.3">
      <c r="B781" s="130" t="str">
        <f ca="1">IFERROR(__xludf.DUMMYFUNCTION("""COMPUTED_VALUE"""),"круг")</f>
        <v>круг</v>
      </c>
      <c r="C781" s="125" t="str">
        <f ca="1">IFERROR(__xludf.DUMMYFUNCTION("""COMPUTED_VALUE"""),"38хм")</f>
        <v>38хм</v>
      </c>
      <c r="D781" s="131">
        <f ca="1">IFERROR(__xludf.DUMMYFUNCTION("""COMPUTED_VALUE"""),14)</f>
        <v>14</v>
      </c>
      <c r="E781" s="131"/>
      <c r="F781" s="132"/>
      <c r="G781" s="133">
        <f ca="1">IFERROR(__xludf.DUMMYFUNCTION("""COMPUTED_VALUE"""),0.397)</f>
        <v>0.39700000000000002</v>
      </c>
      <c r="H781" s="133"/>
      <c r="I781" s="134">
        <f ca="1">IFERROR(__xludf.DUMMYFUNCTION("""COMPUTED_VALUE"""),155000)</f>
        <v>155000</v>
      </c>
    </row>
    <row r="782" spans="2:9" x14ac:dyDescent="0.3">
      <c r="B782" s="130" t="str">
        <f ca="1">IFERROR(__xludf.DUMMYFUNCTION("""COMPUTED_VALUE"""),"круг")</f>
        <v>круг</v>
      </c>
      <c r="C782" s="125" t="str">
        <f ca="1">IFERROR(__xludf.DUMMYFUNCTION("""COMPUTED_VALUE"""),"38хм")</f>
        <v>38хм</v>
      </c>
      <c r="D782" s="131">
        <f ca="1">IFERROR(__xludf.DUMMYFUNCTION("""COMPUTED_VALUE"""),14)</f>
        <v>14</v>
      </c>
      <c r="E782" s="131"/>
      <c r="F782" s="132"/>
      <c r="G782" s="133">
        <f ca="1">IFERROR(__xludf.DUMMYFUNCTION("""COMPUTED_VALUE"""),1.75)</f>
        <v>1.75</v>
      </c>
      <c r="H782" s="133"/>
      <c r="I782" s="134">
        <f ca="1">IFERROR(__xludf.DUMMYFUNCTION("""COMPUTED_VALUE"""),155000)</f>
        <v>155000</v>
      </c>
    </row>
    <row r="783" spans="2:9" x14ac:dyDescent="0.3">
      <c r="B783" s="130" t="str">
        <f ca="1">IFERROR(__xludf.DUMMYFUNCTION("""COMPUTED_VALUE"""),"круг")</f>
        <v>круг</v>
      </c>
      <c r="C783" s="125" t="str">
        <f ca="1">IFERROR(__xludf.DUMMYFUNCTION("""COMPUTED_VALUE"""),"38хм")</f>
        <v>38хм</v>
      </c>
      <c r="D783" s="131">
        <f ca="1">IFERROR(__xludf.DUMMYFUNCTION("""COMPUTED_VALUE"""),15)</f>
        <v>15</v>
      </c>
      <c r="E783" s="131"/>
      <c r="F783" s="132"/>
      <c r="G783" s="133">
        <f ca="1">IFERROR(__xludf.DUMMYFUNCTION("""COMPUTED_VALUE"""),0.036)</f>
        <v>3.5999999999999997E-2</v>
      </c>
      <c r="H783" s="133"/>
      <c r="I783" s="134">
        <f ca="1">IFERROR(__xludf.DUMMYFUNCTION("""COMPUTED_VALUE"""),155000)</f>
        <v>155000</v>
      </c>
    </row>
    <row r="784" spans="2:9" x14ac:dyDescent="0.3">
      <c r="B784" s="130" t="str">
        <f ca="1">IFERROR(__xludf.DUMMYFUNCTION("""COMPUTED_VALUE"""),"круг")</f>
        <v>круг</v>
      </c>
      <c r="C784" s="125" t="str">
        <f ca="1">IFERROR(__xludf.DUMMYFUNCTION("""COMPUTED_VALUE"""),"38хм")</f>
        <v>38хм</v>
      </c>
      <c r="D784" s="131">
        <f ca="1">IFERROR(__xludf.DUMMYFUNCTION("""COMPUTED_VALUE"""),15)</f>
        <v>15</v>
      </c>
      <c r="E784" s="131"/>
      <c r="F784" s="132"/>
      <c r="G784" s="133">
        <f ca="1">IFERROR(__xludf.DUMMYFUNCTION("""COMPUTED_VALUE"""),1.32)</f>
        <v>1.32</v>
      </c>
      <c r="H784" s="133"/>
      <c r="I784" s="134">
        <f ca="1">IFERROR(__xludf.DUMMYFUNCTION("""COMPUTED_VALUE"""),155000)</f>
        <v>155000</v>
      </c>
    </row>
    <row r="785" spans="2:9" x14ac:dyDescent="0.3">
      <c r="B785" s="130" t="str">
        <f ca="1">IFERROR(__xludf.DUMMYFUNCTION("""COMPUTED_VALUE"""),"круг")</f>
        <v>круг</v>
      </c>
      <c r="C785" s="125" t="str">
        <f ca="1">IFERROR(__xludf.DUMMYFUNCTION("""COMPUTED_VALUE"""),"38хм")</f>
        <v>38хм</v>
      </c>
      <c r="D785" s="131">
        <f ca="1">IFERROR(__xludf.DUMMYFUNCTION("""COMPUTED_VALUE"""),15)</f>
        <v>15</v>
      </c>
      <c r="E785" s="131"/>
      <c r="F785" s="132" t="str">
        <f ca="1">IFERROR(__xludf.DUMMYFUNCTION("""COMPUTED_VALUE"""),"ГОСТ4543/2590, 2ГП")</f>
        <v>ГОСТ4543/2590, 2ГП</v>
      </c>
      <c r="G785" s="133">
        <f ca="1">IFERROR(__xludf.DUMMYFUNCTION("""COMPUTED_VALUE"""),2.27)</f>
        <v>2.27</v>
      </c>
      <c r="H785" s="133"/>
      <c r="I785" s="134">
        <f ca="1">IFERROR(__xludf.DUMMYFUNCTION("""COMPUTED_VALUE"""),155000)</f>
        <v>155000</v>
      </c>
    </row>
    <row r="786" spans="2:9" x14ac:dyDescent="0.3">
      <c r="B786" s="130" t="str">
        <f ca="1">IFERROR(__xludf.DUMMYFUNCTION("""COMPUTED_VALUE"""),"круг")</f>
        <v>круг</v>
      </c>
      <c r="C786" s="125" t="str">
        <f ca="1">IFERROR(__xludf.DUMMYFUNCTION("""COMPUTED_VALUE"""),"38хм")</f>
        <v>38хм</v>
      </c>
      <c r="D786" s="131">
        <f ca="1">IFERROR(__xludf.DUMMYFUNCTION("""COMPUTED_VALUE"""),16)</f>
        <v>16</v>
      </c>
      <c r="E786" s="131"/>
      <c r="F786" s="132"/>
      <c r="G786" s="133">
        <f ca="1">IFERROR(__xludf.DUMMYFUNCTION("""COMPUTED_VALUE"""),3.3121)</f>
        <v>3.3121</v>
      </c>
      <c r="H786" s="133"/>
      <c r="I786" s="134">
        <f ca="1">IFERROR(__xludf.DUMMYFUNCTION("""COMPUTED_VALUE"""),155000)</f>
        <v>155000</v>
      </c>
    </row>
    <row r="787" spans="2:9" x14ac:dyDescent="0.3">
      <c r="B787" s="130" t="str">
        <f ca="1">IFERROR(__xludf.DUMMYFUNCTION("""COMPUTED_VALUE"""),"круг")</f>
        <v>круг</v>
      </c>
      <c r="C787" s="125" t="str">
        <f ca="1">IFERROR(__xludf.DUMMYFUNCTION("""COMPUTED_VALUE"""),"38хм")</f>
        <v>38хм</v>
      </c>
      <c r="D787" s="131">
        <f ca="1">IFERROR(__xludf.DUMMYFUNCTION("""COMPUTED_VALUE"""),18)</f>
        <v>18</v>
      </c>
      <c r="E787" s="131"/>
      <c r="F787" s="132" t="str">
        <f ca="1">IFERROR(__xludf.DUMMYFUNCTION("""COMPUTED_VALUE"""),"с налетом")</f>
        <v>с налетом</v>
      </c>
      <c r="G787" s="133">
        <f ca="1">IFERROR(__xludf.DUMMYFUNCTION("""COMPUTED_VALUE"""),0.0659999999999998)</f>
        <v>6.5999999999999795E-2</v>
      </c>
      <c r="H787" s="133"/>
      <c r="I787" s="134">
        <f ca="1">IFERROR(__xludf.DUMMYFUNCTION("""COMPUTED_VALUE"""),155000)</f>
        <v>155000</v>
      </c>
    </row>
    <row r="788" spans="2:9" x14ac:dyDescent="0.3">
      <c r="B788" s="130" t="str">
        <f ca="1">IFERROR(__xludf.DUMMYFUNCTION("""COMPUTED_VALUE"""),"круг")</f>
        <v>круг</v>
      </c>
      <c r="C788" s="125" t="str">
        <f ca="1">IFERROR(__xludf.DUMMYFUNCTION("""COMPUTED_VALUE"""),"38хм")</f>
        <v>38хм</v>
      </c>
      <c r="D788" s="131">
        <f ca="1">IFERROR(__xludf.DUMMYFUNCTION("""COMPUTED_VALUE"""),18)</f>
        <v>18</v>
      </c>
      <c r="E788" s="131"/>
      <c r="F788" s="132" t="str">
        <f ca="1">IFERROR(__xludf.DUMMYFUNCTION("""COMPUTED_VALUE"""),"2ГП ")</f>
        <v xml:space="preserve">2ГП </v>
      </c>
      <c r="G788" s="133">
        <f ca="1">IFERROR(__xludf.DUMMYFUNCTION("""COMPUTED_VALUE"""),3.78)</f>
        <v>3.78</v>
      </c>
      <c r="H788" s="133"/>
      <c r="I788" s="134">
        <f ca="1">IFERROR(__xludf.DUMMYFUNCTION("""COMPUTED_VALUE"""),120000)</f>
        <v>120000</v>
      </c>
    </row>
    <row r="789" spans="2:9" x14ac:dyDescent="0.3">
      <c r="B789" s="130" t="str">
        <f ca="1">IFERROR(__xludf.DUMMYFUNCTION("""COMPUTED_VALUE"""),"круг")</f>
        <v>круг</v>
      </c>
      <c r="C789" s="125" t="str">
        <f ca="1">IFERROR(__xludf.DUMMYFUNCTION("""COMPUTED_VALUE"""),"38хм")</f>
        <v>38хм</v>
      </c>
      <c r="D789" s="131">
        <f ca="1">IFERROR(__xludf.DUMMYFUNCTION("""COMPUTED_VALUE"""),20)</f>
        <v>20</v>
      </c>
      <c r="E789" s="131"/>
      <c r="F789" s="132" t="str">
        <f ca="1">IFERROR(__xludf.DUMMYFUNCTION("""COMPUTED_VALUE"""),"2ГП ")</f>
        <v xml:space="preserve">2ГП </v>
      </c>
      <c r="G789" s="133">
        <f ca="1">IFERROR(__xludf.DUMMYFUNCTION("""COMPUTED_VALUE"""),0.00599999999999978)</f>
        <v>5.9999999999997798E-3</v>
      </c>
      <c r="H789" s="133"/>
      <c r="I789" s="134">
        <f ca="1">IFERROR(__xludf.DUMMYFUNCTION("""COMPUTED_VALUE"""),120000)</f>
        <v>120000</v>
      </c>
    </row>
    <row r="790" spans="2:9" x14ac:dyDescent="0.3">
      <c r="B790" s="130" t="str">
        <f ca="1">IFERROR(__xludf.DUMMYFUNCTION("""COMPUTED_VALUE"""),"круг")</f>
        <v>круг</v>
      </c>
      <c r="C790" s="125" t="str">
        <f ca="1">IFERROR(__xludf.DUMMYFUNCTION("""COMPUTED_VALUE"""),"38хм")</f>
        <v>38хм</v>
      </c>
      <c r="D790" s="131">
        <f ca="1">IFERROR(__xludf.DUMMYFUNCTION("""COMPUTED_VALUE"""),20)</f>
        <v>20</v>
      </c>
      <c r="E790" s="131"/>
      <c r="F790" s="132"/>
      <c r="G790" s="133">
        <f ca="1">IFERROR(__xludf.DUMMYFUNCTION("""COMPUTED_VALUE"""),1.456)</f>
        <v>1.456</v>
      </c>
      <c r="H790" s="133"/>
      <c r="I790" s="134">
        <f ca="1">IFERROR(__xludf.DUMMYFUNCTION("""COMPUTED_VALUE"""),120000)</f>
        <v>120000</v>
      </c>
    </row>
    <row r="791" spans="2:9" x14ac:dyDescent="0.3">
      <c r="B791" s="130" t="str">
        <f ca="1">IFERROR(__xludf.DUMMYFUNCTION("""COMPUTED_VALUE"""),"круг")</f>
        <v>круг</v>
      </c>
      <c r="C791" s="125" t="str">
        <f ca="1">IFERROR(__xludf.DUMMYFUNCTION("""COMPUTED_VALUE"""),"38хм")</f>
        <v>38хм</v>
      </c>
      <c r="D791" s="131">
        <f ca="1">IFERROR(__xludf.DUMMYFUNCTION("""COMPUTED_VALUE"""),24)</f>
        <v>24</v>
      </c>
      <c r="E791" s="131"/>
      <c r="F791" s="132" t="str">
        <f ca="1">IFERROR(__xludf.DUMMYFUNCTION("""COMPUTED_VALUE"""),"2ГП ")</f>
        <v xml:space="preserve">2ГП </v>
      </c>
      <c r="G791" s="133">
        <f ca="1">IFERROR(__xludf.DUMMYFUNCTION("""COMPUTED_VALUE"""),3.075)</f>
        <v>3.0750000000000002</v>
      </c>
      <c r="H791" s="133"/>
      <c r="I791" s="134">
        <f ca="1">IFERROR(__xludf.DUMMYFUNCTION("""COMPUTED_VALUE"""),120000)</f>
        <v>120000</v>
      </c>
    </row>
    <row r="792" spans="2:9" x14ac:dyDescent="0.3">
      <c r="B792" s="130" t="str">
        <f ca="1">IFERROR(__xludf.DUMMYFUNCTION("""COMPUTED_VALUE"""),"круг")</f>
        <v>круг</v>
      </c>
      <c r="C792" s="125" t="str">
        <f ca="1">IFERROR(__xludf.DUMMYFUNCTION("""COMPUTED_VALUE"""),"38хм")</f>
        <v>38хм</v>
      </c>
      <c r="D792" s="131">
        <f ca="1">IFERROR(__xludf.DUMMYFUNCTION("""COMPUTED_VALUE"""),25)</f>
        <v>25</v>
      </c>
      <c r="E792" s="131"/>
      <c r="F792" s="132"/>
      <c r="G792" s="133">
        <f ca="1">IFERROR(__xludf.DUMMYFUNCTION("""COMPUTED_VALUE"""),3.984)</f>
        <v>3.984</v>
      </c>
      <c r="H792" s="133"/>
      <c r="I792" s="134">
        <f ca="1">IFERROR(__xludf.DUMMYFUNCTION("""COMPUTED_VALUE"""),120000)</f>
        <v>120000</v>
      </c>
    </row>
    <row r="793" spans="2:9" x14ac:dyDescent="0.3">
      <c r="B793" s="130" t="str">
        <f ca="1">IFERROR(__xludf.DUMMYFUNCTION("""COMPUTED_VALUE"""),"круг")</f>
        <v>круг</v>
      </c>
      <c r="C793" s="125" t="str">
        <f ca="1">IFERROR(__xludf.DUMMYFUNCTION("""COMPUTED_VALUE"""),"38хм")</f>
        <v>38хм</v>
      </c>
      <c r="D793" s="131">
        <f ca="1">IFERROR(__xludf.DUMMYFUNCTION("""COMPUTED_VALUE"""),26)</f>
        <v>26</v>
      </c>
      <c r="E793" s="131"/>
      <c r="F793" s="132" t="str">
        <f ca="1">IFERROR(__xludf.DUMMYFUNCTION("""COMPUTED_VALUE"""),"  ")</f>
        <v xml:space="preserve">  </v>
      </c>
      <c r="G793" s="133">
        <f ca="1">IFERROR(__xludf.DUMMYFUNCTION("""COMPUTED_VALUE"""),0.499999999999999)</f>
        <v>0.499999999999999</v>
      </c>
      <c r="H793" s="133"/>
      <c r="I793" s="134">
        <f ca="1">IFERROR(__xludf.DUMMYFUNCTION("""COMPUTED_VALUE"""),145000)</f>
        <v>145000</v>
      </c>
    </row>
    <row r="794" spans="2:9" x14ac:dyDescent="0.3">
      <c r="B794" s="130" t="str">
        <f ca="1">IFERROR(__xludf.DUMMYFUNCTION("""COMPUTED_VALUE"""),"круг")</f>
        <v>круг</v>
      </c>
      <c r="C794" s="125" t="str">
        <f ca="1">IFERROR(__xludf.DUMMYFUNCTION("""COMPUTED_VALUE"""),"38хм")</f>
        <v>38хм</v>
      </c>
      <c r="D794" s="131">
        <f ca="1">IFERROR(__xludf.DUMMYFUNCTION("""COMPUTED_VALUE"""),28)</f>
        <v>28</v>
      </c>
      <c r="E794" s="131"/>
      <c r="F794" s="132" t="str">
        <f ca="1">IFERROR(__xludf.DUMMYFUNCTION("""COMPUTED_VALUE"""),"2ГП")</f>
        <v>2ГП</v>
      </c>
      <c r="G794" s="133">
        <f ca="1">IFERROR(__xludf.DUMMYFUNCTION("""COMPUTED_VALUE"""),1.40699999999999)</f>
        <v>1.40699999999999</v>
      </c>
      <c r="H794" s="133"/>
      <c r="I794" s="134">
        <f ca="1">IFERROR(__xludf.DUMMYFUNCTION("""COMPUTED_VALUE"""),120000)</f>
        <v>120000</v>
      </c>
    </row>
    <row r="795" spans="2:9" x14ac:dyDescent="0.3">
      <c r="B795" s="130" t="str">
        <f ca="1">IFERROR(__xludf.DUMMYFUNCTION("""COMPUTED_VALUE"""),"круг")</f>
        <v>круг</v>
      </c>
      <c r="C795" s="125" t="str">
        <f ca="1">IFERROR(__xludf.DUMMYFUNCTION("""COMPUTED_VALUE"""),"38хм")</f>
        <v>38хм</v>
      </c>
      <c r="D795" s="131">
        <f ca="1">IFERROR(__xludf.DUMMYFUNCTION("""COMPUTED_VALUE"""),30)</f>
        <v>30</v>
      </c>
      <c r="E795" s="131"/>
      <c r="F795" s="132" t="str">
        <f ca="1">IFERROR(__xludf.DUMMYFUNCTION("""COMPUTED_VALUE"""),"ГОСТ4543/2590. 2гп")</f>
        <v>ГОСТ4543/2590. 2гп</v>
      </c>
      <c r="G795" s="133">
        <f ca="1">IFERROR(__xludf.DUMMYFUNCTION("""COMPUTED_VALUE"""),4.47)</f>
        <v>4.47</v>
      </c>
      <c r="H795" s="133"/>
      <c r="I795" s="134">
        <f ca="1">IFERROR(__xludf.DUMMYFUNCTION("""COMPUTED_VALUE"""),120000)</f>
        <v>120000</v>
      </c>
    </row>
    <row r="796" spans="2:9" x14ac:dyDescent="0.3">
      <c r="B796" s="130" t="str">
        <f ca="1">IFERROR(__xludf.DUMMYFUNCTION("""COMPUTED_VALUE"""),"круг")</f>
        <v>круг</v>
      </c>
      <c r="C796" s="125" t="str">
        <f ca="1">IFERROR(__xludf.DUMMYFUNCTION("""COMPUTED_VALUE"""),"38хм")</f>
        <v>38хм</v>
      </c>
      <c r="D796" s="131">
        <f ca="1">IFERROR(__xludf.DUMMYFUNCTION("""COMPUTED_VALUE"""),32)</f>
        <v>32</v>
      </c>
      <c r="E796" s="131"/>
      <c r="F796" s="132" t="str">
        <f ca="1">IFERROR(__xludf.DUMMYFUNCTION("""COMPUTED_VALUE"""),"ГОСТ4543/2590. 2гп")</f>
        <v>ГОСТ4543/2590. 2гп</v>
      </c>
      <c r="G796" s="133">
        <f ca="1">IFERROR(__xludf.DUMMYFUNCTION("""COMPUTED_VALUE"""),4.25)</f>
        <v>4.25</v>
      </c>
      <c r="H796" s="133"/>
      <c r="I796" s="134">
        <f ca="1">IFERROR(__xludf.DUMMYFUNCTION("""COMPUTED_VALUE"""),120000)</f>
        <v>120000</v>
      </c>
    </row>
    <row r="797" spans="2:9" x14ac:dyDescent="0.3">
      <c r="B797" s="130" t="str">
        <f ca="1">IFERROR(__xludf.DUMMYFUNCTION("""COMPUTED_VALUE"""),"круг")</f>
        <v>круг</v>
      </c>
      <c r="C797" s="125" t="str">
        <f ca="1">IFERROR(__xludf.DUMMYFUNCTION("""COMPUTED_VALUE"""),"38хм")</f>
        <v>38хм</v>
      </c>
      <c r="D797" s="131">
        <f ca="1">IFERROR(__xludf.DUMMYFUNCTION("""COMPUTED_VALUE"""),36)</f>
        <v>36</v>
      </c>
      <c r="E797" s="131"/>
      <c r="F797" s="132" t="str">
        <f ca="1">IFERROR(__xludf.DUMMYFUNCTION("""COMPUTED_VALUE"""),"ГОСТ4543/2590. 2гп")</f>
        <v>ГОСТ4543/2590. 2гп</v>
      </c>
      <c r="G797" s="133">
        <f ca="1">IFERROR(__xludf.DUMMYFUNCTION("""COMPUTED_VALUE"""),4)</f>
        <v>4</v>
      </c>
      <c r="H797" s="133"/>
      <c r="I797" s="134">
        <f ca="1">IFERROR(__xludf.DUMMYFUNCTION("""COMPUTED_VALUE"""),120000)</f>
        <v>120000</v>
      </c>
    </row>
    <row r="798" spans="2:9" x14ac:dyDescent="0.3">
      <c r="B798" s="130" t="str">
        <f ca="1">IFERROR(__xludf.DUMMYFUNCTION("""COMPUTED_VALUE"""),"круг")</f>
        <v>круг</v>
      </c>
      <c r="C798" s="125" t="str">
        <f ca="1">IFERROR(__xludf.DUMMYFUNCTION("""COMPUTED_VALUE"""),"38хм")</f>
        <v>38хм</v>
      </c>
      <c r="D798" s="131">
        <f ca="1">IFERROR(__xludf.DUMMYFUNCTION("""COMPUTED_VALUE"""),38)</f>
        <v>38</v>
      </c>
      <c r="E798" s="131"/>
      <c r="F798" s="132" t="str">
        <f ca="1">IFERROR(__xludf.DUMMYFUNCTION("""COMPUTED_VALUE"""),"2ГП ")</f>
        <v xml:space="preserve">2ГП </v>
      </c>
      <c r="G798" s="133">
        <f ca="1">IFERROR(__xludf.DUMMYFUNCTION("""COMPUTED_VALUE"""),0.999)</f>
        <v>0.999</v>
      </c>
      <c r="H798" s="133"/>
      <c r="I798" s="134">
        <f ca="1">IFERROR(__xludf.DUMMYFUNCTION("""COMPUTED_VALUE"""),135000)</f>
        <v>135000</v>
      </c>
    </row>
    <row r="799" spans="2:9" x14ac:dyDescent="0.3">
      <c r="B799" s="130" t="str">
        <f ca="1">IFERROR(__xludf.DUMMYFUNCTION("""COMPUTED_VALUE"""),"круг")</f>
        <v>круг</v>
      </c>
      <c r="C799" s="125" t="str">
        <f ca="1">IFERROR(__xludf.DUMMYFUNCTION("""COMPUTED_VALUE"""),"38хм")</f>
        <v>38хм</v>
      </c>
      <c r="D799" s="131">
        <f ca="1">IFERROR(__xludf.DUMMYFUNCTION("""COMPUTED_VALUE"""),38)</f>
        <v>38</v>
      </c>
      <c r="E799" s="131"/>
      <c r="F799" s="132" t="str">
        <f ca="1">IFERROR(__xludf.DUMMYFUNCTION("""COMPUTED_VALUE"""),"ГОСТ4543/2590. 2гп")</f>
        <v>ГОСТ4543/2590. 2гп</v>
      </c>
      <c r="G799" s="133">
        <f ca="1">IFERROR(__xludf.DUMMYFUNCTION("""COMPUTED_VALUE"""),4.35)</f>
        <v>4.3499999999999996</v>
      </c>
      <c r="H799" s="133"/>
      <c r="I799" s="134">
        <f ca="1">IFERROR(__xludf.DUMMYFUNCTION("""COMPUTED_VALUE"""),120000)</f>
        <v>120000</v>
      </c>
    </row>
    <row r="800" spans="2:9" x14ac:dyDescent="0.3">
      <c r="B800" s="130" t="str">
        <f ca="1">IFERROR(__xludf.DUMMYFUNCTION("""COMPUTED_VALUE"""),"круг")</f>
        <v>круг</v>
      </c>
      <c r="C800" s="125" t="str">
        <f ca="1">IFERROR(__xludf.DUMMYFUNCTION("""COMPUTED_VALUE"""),"38хм")</f>
        <v>38хм</v>
      </c>
      <c r="D800" s="131">
        <f ca="1">IFERROR(__xludf.DUMMYFUNCTION("""COMPUTED_VALUE"""),40)</f>
        <v>40</v>
      </c>
      <c r="E800" s="131"/>
      <c r="F800" s="132"/>
      <c r="G800" s="133">
        <f ca="1">IFERROR(__xludf.DUMMYFUNCTION("""COMPUTED_VALUE"""),1.75399999999999)</f>
        <v>1.75399999999999</v>
      </c>
      <c r="H800" s="133"/>
      <c r="I800" s="134">
        <f ca="1">IFERROR(__xludf.DUMMYFUNCTION("""COMPUTED_VALUE"""),120000)</f>
        <v>120000</v>
      </c>
    </row>
    <row r="801" spans="2:9" x14ac:dyDescent="0.3">
      <c r="B801" s="130" t="str">
        <f ca="1">IFERROR(__xludf.DUMMYFUNCTION("""COMPUTED_VALUE"""),"круг")</f>
        <v>круг</v>
      </c>
      <c r="C801" s="125" t="str">
        <f ca="1">IFERROR(__xludf.DUMMYFUNCTION("""COMPUTED_VALUE"""),"38хм")</f>
        <v>38хм</v>
      </c>
      <c r="D801" s="131">
        <f ca="1">IFERROR(__xludf.DUMMYFUNCTION("""COMPUTED_VALUE"""),40)</f>
        <v>40</v>
      </c>
      <c r="E801" s="131"/>
      <c r="F801" s="132"/>
      <c r="G801" s="133">
        <f ca="1">IFERROR(__xludf.DUMMYFUNCTION("""COMPUTED_VALUE"""),1.7)</f>
        <v>1.7</v>
      </c>
      <c r="H801" s="133"/>
      <c r="I801" s="134">
        <f ca="1">IFERROR(__xludf.DUMMYFUNCTION("""COMPUTED_VALUE"""),120000)</f>
        <v>120000</v>
      </c>
    </row>
    <row r="802" spans="2:9" x14ac:dyDescent="0.3">
      <c r="B802" s="130" t="str">
        <f ca="1">IFERROR(__xludf.DUMMYFUNCTION("""COMPUTED_VALUE"""),"круг")</f>
        <v>круг</v>
      </c>
      <c r="C802" s="125" t="str">
        <f ca="1">IFERROR(__xludf.DUMMYFUNCTION("""COMPUTED_VALUE"""),"38хм")</f>
        <v>38хм</v>
      </c>
      <c r="D802" s="131">
        <f ca="1">IFERROR(__xludf.DUMMYFUNCTION("""COMPUTED_VALUE"""),45)</f>
        <v>45</v>
      </c>
      <c r="E802" s="131"/>
      <c r="F802" s="132" t="str">
        <f ca="1">IFERROR(__xludf.DUMMYFUNCTION("""COMPUTED_VALUE"""),"2ГП ")</f>
        <v xml:space="preserve">2ГП </v>
      </c>
      <c r="G802" s="133">
        <f ca="1">IFERROR(__xludf.DUMMYFUNCTION("""COMPUTED_VALUE"""),4.26399999999999)</f>
        <v>4.2639999999999896</v>
      </c>
      <c r="H802" s="133"/>
      <c r="I802" s="134">
        <f ca="1">IFERROR(__xludf.DUMMYFUNCTION("""COMPUTED_VALUE"""),120000)</f>
        <v>120000</v>
      </c>
    </row>
    <row r="803" spans="2:9" x14ac:dyDescent="0.3">
      <c r="B803" s="130" t="str">
        <f ca="1">IFERROR(__xludf.DUMMYFUNCTION("""COMPUTED_VALUE"""),"круг")</f>
        <v>круг</v>
      </c>
      <c r="C803" s="125" t="str">
        <f ca="1">IFERROR(__xludf.DUMMYFUNCTION("""COMPUTED_VALUE"""),"38хм")</f>
        <v>38хм</v>
      </c>
      <c r="D803" s="131">
        <f ca="1">IFERROR(__xludf.DUMMYFUNCTION("""COMPUTED_VALUE"""),45)</f>
        <v>45</v>
      </c>
      <c r="E803" s="131"/>
      <c r="F803" s="132" t="str">
        <f ca="1">IFERROR(__xludf.DUMMYFUNCTION("""COMPUTED_VALUE"""),"ГОСТ4543/2590 2ГП ")</f>
        <v xml:space="preserve">ГОСТ4543/2590 2ГП </v>
      </c>
      <c r="G803" s="133">
        <f ca="1">IFERROR(__xludf.DUMMYFUNCTION("""COMPUTED_VALUE"""),4.87)</f>
        <v>4.87</v>
      </c>
      <c r="H803" s="133"/>
      <c r="I803" s="134">
        <f ca="1">IFERROR(__xludf.DUMMYFUNCTION("""COMPUTED_VALUE"""),120000)</f>
        <v>120000</v>
      </c>
    </row>
    <row r="804" spans="2:9" x14ac:dyDescent="0.3">
      <c r="B804" s="130" t="str">
        <f ca="1">IFERROR(__xludf.DUMMYFUNCTION("""COMPUTED_VALUE"""),"круг")</f>
        <v>круг</v>
      </c>
      <c r="C804" s="125" t="str">
        <f ca="1">IFERROR(__xludf.DUMMYFUNCTION("""COMPUTED_VALUE"""),"38хм")</f>
        <v>38хм</v>
      </c>
      <c r="D804" s="131">
        <f ca="1">IFERROR(__xludf.DUMMYFUNCTION("""COMPUTED_VALUE"""),45)</f>
        <v>45</v>
      </c>
      <c r="E804" s="131"/>
      <c r="F804" s="132" t="str">
        <f ca="1">IFERROR(__xludf.DUMMYFUNCTION("""COMPUTED_VALUE"""),"2ГП ")</f>
        <v xml:space="preserve">2ГП </v>
      </c>
      <c r="G804" s="133">
        <f ca="1">IFERROR(__xludf.DUMMYFUNCTION("""COMPUTED_VALUE"""),3.68)</f>
        <v>3.68</v>
      </c>
      <c r="H804" s="133"/>
      <c r="I804" s="134">
        <f ca="1">IFERROR(__xludf.DUMMYFUNCTION("""COMPUTED_VALUE"""),120000)</f>
        <v>120000</v>
      </c>
    </row>
    <row r="805" spans="2:9" x14ac:dyDescent="0.3">
      <c r="B805" s="130" t="str">
        <f ca="1">IFERROR(__xludf.DUMMYFUNCTION("""COMPUTED_VALUE"""),"круг")</f>
        <v>круг</v>
      </c>
      <c r="C805" s="125" t="str">
        <f ca="1">IFERROR(__xludf.DUMMYFUNCTION("""COMPUTED_VALUE"""),"38хм")</f>
        <v>38хм</v>
      </c>
      <c r="D805" s="131">
        <f ca="1">IFERROR(__xludf.DUMMYFUNCTION("""COMPUTED_VALUE"""),50)</f>
        <v>50</v>
      </c>
      <c r="E805" s="131"/>
      <c r="F805" s="132" t="str">
        <f ca="1">IFERROR(__xludf.DUMMYFUNCTION("""COMPUTED_VALUE"""),"2ГП ")</f>
        <v xml:space="preserve">2ГП </v>
      </c>
      <c r="G805" s="133">
        <f ca="1">IFERROR(__xludf.DUMMYFUNCTION("""COMPUTED_VALUE"""),0.326)</f>
        <v>0.32600000000000001</v>
      </c>
      <c r="H805" s="133"/>
      <c r="I805" s="134">
        <f ca="1">IFERROR(__xludf.DUMMYFUNCTION("""COMPUTED_VALUE"""),120000)</f>
        <v>120000</v>
      </c>
    </row>
    <row r="806" spans="2:9" x14ac:dyDescent="0.3">
      <c r="B806" s="130" t="str">
        <f ca="1">IFERROR(__xludf.DUMMYFUNCTION("""COMPUTED_VALUE"""),"круг")</f>
        <v>круг</v>
      </c>
      <c r="C806" s="125" t="str">
        <f ca="1">IFERROR(__xludf.DUMMYFUNCTION("""COMPUTED_VALUE"""),"38хм")</f>
        <v>38хм</v>
      </c>
      <c r="D806" s="131">
        <f ca="1">IFERROR(__xludf.DUMMYFUNCTION("""COMPUTED_VALUE"""),50)</f>
        <v>50</v>
      </c>
      <c r="E806" s="131"/>
      <c r="F806" s="132" t="str">
        <f ca="1">IFERROR(__xludf.DUMMYFUNCTION("""COMPUTED_VALUE"""),"2ГП ")</f>
        <v xml:space="preserve">2ГП </v>
      </c>
      <c r="G806" s="133">
        <f ca="1">IFERROR(__xludf.DUMMYFUNCTION("""COMPUTED_VALUE"""),1.55)</f>
        <v>1.55</v>
      </c>
      <c r="H806" s="133"/>
      <c r="I806" s="134">
        <f ca="1">IFERROR(__xludf.DUMMYFUNCTION("""COMPUTED_VALUE"""),120000)</f>
        <v>120000</v>
      </c>
    </row>
    <row r="807" spans="2:9" x14ac:dyDescent="0.3">
      <c r="B807" s="130" t="str">
        <f ca="1">IFERROR(__xludf.DUMMYFUNCTION("""COMPUTED_VALUE"""),"круг")</f>
        <v>круг</v>
      </c>
      <c r="C807" s="125" t="str">
        <f ca="1">IFERROR(__xludf.DUMMYFUNCTION("""COMPUTED_VALUE"""),"38хм")</f>
        <v>38хм</v>
      </c>
      <c r="D807" s="131">
        <f ca="1">IFERROR(__xludf.DUMMYFUNCTION("""COMPUTED_VALUE"""),50)</f>
        <v>50</v>
      </c>
      <c r="E807" s="131"/>
      <c r="F807" s="132" t="str">
        <f ca="1">IFERROR(__xludf.DUMMYFUNCTION("""COMPUTED_VALUE"""),"2ГП ")</f>
        <v xml:space="preserve">2ГП </v>
      </c>
      <c r="G807" s="133">
        <f ca="1">IFERROR(__xludf.DUMMYFUNCTION("""COMPUTED_VALUE"""),3.72)</f>
        <v>3.72</v>
      </c>
      <c r="H807" s="133"/>
      <c r="I807" s="134">
        <f ca="1">IFERROR(__xludf.DUMMYFUNCTION("""COMPUTED_VALUE"""),120000)</f>
        <v>120000</v>
      </c>
    </row>
    <row r="808" spans="2:9" x14ac:dyDescent="0.3">
      <c r="B808" s="130" t="str">
        <f ca="1">IFERROR(__xludf.DUMMYFUNCTION("""COMPUTED_VALUE"""),"круг")</f>
        <v>круг</v>
      </c>
      <c r="C808" s="125" t="str">
        <f ca="1">IFERROR(__xludf.DUMMYFUNCTION("""COMPUTED_VALUE"""),"38хм")</f>
        <v>38хм</v>
      </c>
      <c r="D808" s="131">
        <f ca="1">IFERROR(__xludf.DUMMYFUNCTION("""COMPUTED_VALUE"""),50)</f>
        <v>50</v>
      </c>
      <c r="E808" s="131"/>
      <c r="F808" s="132" t="str">
        <f ca="1">IFERROR(__xludf.DUMMYFUNCTION("""COMPUTED_VALUE"""),"2ГП ")</f>
        <v xml:space="preserve">2ГП </v>
      </c>
      <c r="G808" s="133">
        <f ca="1">IFERROR(__xludf.DUMMYFUNCTION("""COMPUTED_VALUE"""),4)</f>
        <v>4</v>
      </c>
      <c r="H808" s="133"/>
      <c r="I808" s="134">
        <f ca="1">IFERROR(__xludf.DUMMYFUNCTION("""COMPUTED_VALUE"""),120000)</f>
        <v>120000</v>
      </c>
    </row>
    <row r="809" spans="2:9" x14ac:dyDescent="0.3">
      <c r="B809" s="130" t="str">
        <f ca="1">IFERROR(__xludf.DUMMYFUNCTION("""COMPUTED_VALUE"""),"круг")</f>
        <v>круг</v>
      </c>
      <c r="C809" s="125" t="str">
        <f ca="1">IFERROR(__xludf.DUMMYFUNCTION("""COMPUTED_VALUE"""),"38хм")</f>
        <v>38хм</v>
      </c>
      <c r="D809" s="131">
        <f ca="1">IFERROR(__xludf.DUMMYFUNCTION("""COMPUTED_VALUE"""),56)</f>
        <v>56</v>
      </c>
      <c r="E809" s="131"/>
      <c r="F809" s="132" t="str">
        <f ca="1">IFERROR(__xludf.DUMMYFUNCTION("""COMPUTED_VALUE"""),"2ГП ")</f>
        <v xml:space="preserve">2ГП </v>
      </c>
      <c r="G809" s="133">
        <f ca="1">IFERROR(__xludf.DUMMYFUNCTION("""COMPUTED_VALUE"""),0.161999999999999)</f>
        <v>0.16199999999999901</v>
      </c>
      <c r="H809" s="133"/>
      <c r="I809" s="134">
        <f ca="1">IFERROR(__xludf.DUMMYFUNCTION("""COMPUTED_VALUE"""),120000)</f>
        <v>120000</v>
      </c>
    </row>
    <row r="810" spans="2:9" x14ac:dyDescent="0.3">
      <c r="B810" s="130" t="str">
        <f ca="1">IFERROR(__xludf.DUMMYFUNCTION("""COMPUTED_VALUE"""),"круг")</f>
        <v>круг</v>
      </c>
      <c r="C810" s="125" t="str">
        <f ca="1">IFERROR(__xludf.DUMMYFUNCTION("""COMPUTED_VALUE"""),"38хм")</f>
        <v>38хм</v>
      </c>
      <c r="D810" s="131">
        <f ca="1">IFERROR(__xludf.DUMMYFUNCTION("""COMPUTED_VALUE"""),56)</f>
        <v>56</v>
      </c>
      <c r="E810" s="131"/>
      <c r="F810" s="132" t="str">
        <f ca="1">IFERROR(__xludf.DUMMYFUNCTION("""COMPUTED_VALUE"""),"2ГП ")</f>
        <v xml:space="preserve">2ГП </v>
      </c>
      <c r="G810" s="133">
        <f ca="1">IFERROR(__xludf.DUMMYFUNCTION("""COMPUTED_VALUE"""),4.417)</f>
        <v>4.4169999999999998</v>
      </c>
      <c r="H810" s="133"/>
      <c r="I810" s="134">
        <f ca="1">IFERROR(__xludf.DUMMYFUNCTION("""COMPUTED_VALUE"""),120000)</f>
        <v>120000</v>
      </c>
    </row>
    <row r="811" spans="2:9" x14ac:dyDescent="0.3">
      <c r="B811" s="130" t="str">
        <f ca="1">IFERROR(__xludf.DUMMYFUNCTION("""COMPUTED_VALUE"""),"круг")</f>
        <v>круг</v>
      </c>
      <c r="C811" s="125" t="str">
        <f ca="1">IFERROR(__xludf.DUMMYFUNCTION("""COMPUTED_VALUE"""),"38хм")</f>
        <v>38хм</v>
      </c>
      <c r="D811" s="131">
        <f ca="1">IFERROR(__xludf.DUMMYFUNCTION("""COMPUTED_VALUE"""),60)</f>
        <v>60</v>
      </c>
      <c r="E811" s="131"/>
      <c r="F811" s="132"/>
      <c r="G811" s="133">
        <f ca="1">IFERROR(__xludf.DUMMYFUNCTION("""COMPUTED_VALUE"""),4.329)</f>
        <v>4.3289999999999997</v>
      </c>
      <c r="H811" s="133"/>
      <c r="I811" s="134">
        <f ca="1">IFERROR(__xludf.DUMMYFUNCTION("""COMPUTED_VALUE"""),120000)</f>
        <v>120000</v>
      </c>
    </row>
    <row r="812" spans="2:9" x14ac:dyDescent="0.3">
      <c r="B812" s="130" t="str">
        <f ca="1">IFERROR(__xludf.DUMMYFUNCTION("""COMPUTED_VALUE"""),"круг")</f>
        <v>круг</v>
      </c>
      <c r="C812" s="125" t="str">
        <f ca="1">IFERROR(__xludf.DUMMYFUNCTION("""COMPUTED_VALUE"""),"38хм")</f>
        <v>38хм</v>
      </c>
      <c r="D812" s="131">
        <f ca="1">IFERROR(__xludf.DUMMYFUNCTION("""COMPUTED_VALUE"""),65)</f>
        <v>65</v>
      </c>
      <c r="E812" s="131"/>
      <c r="F812" s="132" t="str">
        <f ca="1">IFERROR(__xludf.DUMMYFUNCTION("""COMPUTED_VALUE"""),"3ГП . В1,ll од 4000-5500")</f>
        <v>3ГП . В1,ll од 4000-5500</v>
      </c>
      <c r="G812" s="133">
        <f ca="1">IFERROR(__xludf.DUMMYFUNCTION("""COMPUTED_VALUE"""),4.307)</f>
        <v>4.3070000000000004</v>
      </c>
      <c r="H812" s="133"/>
      <c r="I812" s="134">
        <f ca="1">IFERROR(__xludf.DUMMYFUNCTION("""COMPUTED_VALUE"""),135000)</f>
        <v>135000</v>
      </c>
    </row>
    <row r="813" spans="2:9" x14ac:dyDescent="0.3">
      <c r="B813" s="130" t="str">
        <f ca="1">IFERROR(__xludf.DUMMYFUNCTION("""COMPUTED_VALUE"""),"круг")</f>
        <v>круг</v>
      </c>
      <c r="C813" s="125" t="str">
        <f ca="1">IFERROR(__xludf.DUMMYFUNCTION("""COMPUTED_VALUE"""),"38хм")</f>
        <v>38хм</v>
      </c>
      <c r="D813" s="131">
        <f ca="1">IFERROR(__xludf.DUMMYFUNCTION("""COMPUTED_VALUE"""),70)</f>
        <v>70</v>
      </c>
      <c r="E813" s="131"/>
      <c r="F813" s="132" t="str">
        <f ca="1">IFERROR(__xludf.DUMMYFUNCTION("""COMPUTED_VALUE"""),"2ГП ")</f>
        <v xml:space="preserve">2ГП </v>
      </c>
      <c r="G813" s="133">
        <f ca="1">IFERROR(__xludf.DUMMYFUNCTION("""COMPUTED_VALUE"""),0.148)</f>
        <v>0.14799999999999999</v>
      </c>
      <c r="H813" s="133"/>
      <c r="I813" s="134">
        <f ca="1">IFERROR(__xludf.DUMMYFUNCTION("""COMPUTED_VALUE"""),120000)</f>
        <v>120000</v>
      </c>
    </row>
    <row r="814" spans="2:9" x14ac:dyDescent="0.3">
      <c r="B814" s="130" t="str">
        <f ca="1">IFERROR(__xludf.DUMMYFUNCTION("""COMPUTED_VALUE"""),"круг")</f>
        <v>круг</v>
      </c>
      <c r="C814" s="125" t="str">
        <f ca="1">IFERROR(__xludf.DUMMYFUNCTION("""COMPUTED_VALUE"""),"38хм")</f>
        <v>38хм</v>
      </c>
      <c r="D814" s="131">
        <f ca="1">IFERROR(__xludf.DUMMYFUNCTION("""COMPUTED_VALUE"""),70)</f>
        <v>70</v>
      </c>
      <c r="E814" s="131"/>
      <c r="F814" s="132"/>
      <c r="G814" s="133">
        <f ca="1">IFERROR(__xludf.DUMMYFUNCTION("""COMPUTED_VALUE"""),3.72)</f>
        <v>3.72</v>
      </c>
      <c r="H814" s="133"/>
      <c r="I814" s="134">
        <f ca="1">IFERROR(__xludf.DUMMYFUNCTION("""COMPUTED_VALUE"""),120000)</f>
        <v>120000</v>
      </c>
    </row>
    <row r="815" spans="2:9" x14ac:dyDescent="0.3">
      <c r="B815" s="130" t="str">
        <f ca="1">IFERROR(__xludf.DUMMYFUNCTION("""COMPUTED_VALUE"""),"круг")</f>
        <v>круг</v>
      </c>
      <c r="C815" s="125" t="str">
        <f ca="1">IFERROR(__xludf.DUMMYFUNCTION("""COMPUTED_VALUE"""),"38хм")</f>
        <v>38хм</v>
      </c>
      <c r="D815" s="131">
        <f ca="1">IFERROR(__xludf.DUMMYFUNCTION("""COMPUTED_VALUE"""),75)</f>
        <v>75</v>
      </c>
      <c r="E815" s="131"/>
      <c r="F815" s="132"/>
      <c r="G815" s="133">
        <f ca="1">IFERROR(__xludf.DUMMYFUNCTION("""COMPUTED_VALUE"""),3.577)</f>
        <v>3.577</v>
      </c>
      <c r="H815" s="133"/>
      <c r="I815" s="134">
        <f ca="1">IFERROR(__xludf.DUMMYFUNCTION("""COMPUTED_VALUE"""),120000)</f>
        <v>120000</v>
      </c>
    </row>
    <row r="816" spans="2:9" x14ac:dyDescent="0.3">
      <c r="B816" s="130" t="str">
        <f ca="1">IFERROR(__xludf.DUMMYFUNCTION("""COMPUTED_VALUE"""),"круг")</f>
        <v>круг</v>
      </c>
      <c r="C816" s="125" t="str">
        <f ca="1">IFERROR(__xludf.DUMMYFUNCTION("""COMPUTED_VALUE"""),"38хм")</f>
        <v>38хм</v>
      </c>
      <c r="D816" s="131">
        <f ca="1">IFERROR(__xludf.DUMMYFUNCTION("""COMPUTED_VALUE"""),80)</f>
        <v>80</v>
      </c>
      <c r="E816" s="131"/>
      <c r="F816" s="132" t="str">
        <f ca="1">IFERROR(__xludf.DUMMYFUNCTION("""COMPUTED_VALUE"""),"2ГП ")</f>
        <v xml:space="preserve">2ГП </v>
      </c>
      <c r="G816" s="133">
        <f ca="1">IFERROR(__xludf.DUMMYFUNCTION("""COMPUTED_VALUE"""),2.143)</f>
        <v>2.1429999999999998</v>
      </c>
      <c r="H816" s="133"/>
      <c r="I816" s="134">
        <f ca="1">IFERROR(__xludf.DUMMYFUNCTION("""COMPUTED_VALUE"""),140000)</f>
        <v>140000</v>
      </c>
    </row>
    <row r="817" spans="2:9" x14ac:dyDescent="0.3">
      <c r="B817" s="130" t="str">
        <f ca="1">IFERROR(__xludf.DUMMYFUNCTION("""COMPUTED_VALUE"""),"круг")</f>
        <v>круг</v>
      </c>
      <c r="C817" s="125" t="str">
        <f ca="1">IFERROR(__xludf.DUMMYFUNCTION("""COMPUTED_VALUE"""),"38хм")</f>
        <v>38хм</v>
      </c>
      <c r="D817" s="131">
        <f ca="1">IFERROR(__xludf.DUMMYFUNCTION("""COMPUTED_VALUE"""),80)</f>
        <v>80</v>
      </c>
      <c r="E817" s="131"/>
      <c r="F817" s="132" t="str">
        <f ca="1">IFERROR(__xludf.DUMMYFUNCTION("""COMPUTED_VALUE"""),"3ГП . В1,ll од 4000-5500")</f>
        <v>3ГП . В1,ll од 4000-5500</v>
      </c>
      <c r="G817" s="133">
        <f ca="1">IFERROR(__xludf.DUMMYFUNCTION("""COMPUTED_VALUE"""),4.951)</f>
        <v>4.9509999999999996</v>
      </c>
      <c r="H817" s="133"/>
      <c r="I817" s="134">
        <f ca="1">IFERROR(__xludf.DUMMYFUNCTION("""COMPUTED_VALUE"""),135000)</f>
        <v>135000</v>
      </c>
    </row>
    <row r="818" spans="2:9" x14ac:dyDescent="0.3">
      <c r="B818" s="130" t="str">
        <f ca="1">IFERROR(__xludf.DUMMYFUNCTION("""COMPUTED_VALUE"""),"круг")</f>
        <v>круг</v>
      </c>
      <c r="C818" s="125" t="str">
        <f ca="1">IFERROR(__xludf.DUMMYFUNCTION("""COMPUTED_VALUE"""),"38хм")</f>
        <v>38хм</v>
      </c>
      <c r="D818" s="131">
        <f ca="1">IFERROR(__xludf.DUMMYFUNCTION("""COMPUTED_VALUE"""),85)</f>
        <v>85</v>
      </c>
      <c r="E818" s="131"/>
      <c r="F818" s="132"/>
      <c r="G818" s="133">
        <f ca="1">IFERROR(__xludf.DUMMYFUNCTION("""COMPUTED_VALUE"""),0.033)</f>
        <v>3.3000000000000002E-2</v>
      </c>
      <c r="H818" s="133"/>
      <c r="I818" s="134">
        <f ca="1">IFERROR(__xludf.DUMMYFUNCTION("""COMPUTED_VALUE"""),135000)</f>
        <v>135000</v>
      </c>
    </row>
    <row r="819" spans="2:9" x14ac:dyDescent="0.3">
      <c r="B819" s="130" t="str">
        <f ca="1">IFERROR(__xludf.DUMMYFUNCTION("""COMPUTED_VALUE"""),"круг")</f>
        <v>круг</v>
      </c>
      <c r="C819" s="125" t="str">
        <f ca="1">IFERROR(__xludf.DUMMYFUNCTION("""COMPUTED_VALUE"""),"38хм")</f>
        <v>38хм</v>
      </c>
      <c r="D819" s="131">
        <f ca="1">IFERROR(__xludf.DUMMYFUNCTION("""COMPUTED_VALUE"""),85)</f>
        <v>85</v>
      </c>
      <c r="E819" s="131"/>
      <c r="F819" s="132" t="str">
        <f ca="1">IFERROR(__xludf.DUMMYFUNCTION("""COMPUTED_VALUE"""),"2ГП ")</f>
        <v xml:space="preserve">2ГП </v>
      </c>
      <c r="G819" s="133">
        <f ca="1">IFERROR(__xludf.DUMMYFUNCTION("""COMPUTED_VALUE"""),0.399)</f>
        <v>0.39900000000000002</v>
      </c>
      <c r="H819" s="133"/>
      <c r="I819" s="134">
        <f ca="1">IFERROR(__xludf.DUMMYFUNCTION("""COMPUTED_VALUE"""),135000)</f>
        <v>135000</v>
      </c>
    </row>
    <row r="820" spans="2:9" x14ac:dyDescent="0.3">
      <c r="B820" s="130" t="str">
        <f ca="1">IFERROR(__xludf.DUMMYFUNCTION("""COMPUTED_VALUE"""),"круг")</f>
        <v>круг</v>
      </c>
      <c r="C820" s="125" t="str">
        <f ca="1">IFERROR(__xludf.DUMMYFUNCTION("""COMPUTED_VALUE"""),"38хм")</f>
        <v>38хм</v>
      </c>
      <c r="D820" s="131">
        <f ca="1">IFERROR(__xludf.DUMMYFUNCTION("""COMPUTED_VALUE"""),85)</f>
        <v>85</v>
      </c>
      <c r="E820" s="131"/>
      <c r="F820" s="132" t="str">
        <f ca="1">IFERROR(__xludf.DUMMYFUNCTION("""COMPUTED_VALUE"""),"3ГП . В1,ll од 4000-5500")</f>
        <v>3ГП . В1,ll од 4000-5500</v>
      </c>
      <c r="G820" s="133">
        <f ca="1">IFERROR(__xludf.DUMMYFUNCTION("""COMPUTED_VALUE"""),5.06)</f>
        <v>5.0599999999999996</v>
      </c>
      <c r="H820" s="133"/>
      <c r="I820" s="134">
        <f ca="1">IFERROR(__xludf.DUMMYFUNCTION("""COMPUTED_VALUE"""),135000)</f>
        <v>135000</v>
      </c>
    </row>
    <row r="821" spans="2:9" x14ac:dyDescent="0.3">
      <c r="B821" s="130" t="str">
        <f ca="1">IFERROR(__xludf.DUMMYFUNCTION("""COMPUTED_VALUE"""),"круг")</f>
        <v>круг</v>
      </c>
      <c r="C821" s="125" t="str">
        <f ca="1">IFERROR(__xludf.DUMMYFUNCTION("""COMPUTED_VALUE"""),"38хм")</f>
        <v>38хм</v>
      </c>
      <c r="D821" s="131">
        <f ca="1">IFERROR(__xludf.DUMMYFUNCTION("""COMPUTED_VALUE"""),85)</f>
        <v>85</v>
      </c>
      <c r="E821" s="131"/>
      <c r="F821" s="132" t="str">
        <f ca="1">IFERROR(__xludf.DUMMYFUNCTION("""COMPUTED_VALUE"""),"3ГП . В1,ll од 4000-5500")</f>
        <v>3ГП . В1,ll од 4000-5500</v>
      </c>
      <c r="G821" s="133">
        <f ca="1">IFERROR(__xludf.DUMMYFUNCTION("""COMPUTED_VALUE"""),0.469)</f>
        <v>0.46899999999999997</v>
      </c>
      <c r="H821" s="133"/>
      <c r="I821" s="134">
        <f ca="1">IFERROR(__xludf.DUMMYFUNCTION("""COMPUTED_VALUE"""),135000)</f>
        <v>135000</v>
      </c>
    </row>
    <row r="822" spans="2:9" x14ac:dyDescent="0.3">
      <c r="B822" s="130" t="str">
        <f ca="1">IFERROR(__xludf.DUMMYFUNCTION("""COMPUTED_VALUE"""),"круг")</f>
        <v>круг</v>
      </c>
      <c r="C822" s="125" t="str">
        <f ca="1">IFERROR(__xludf.DUMMYFUNCTION("""COMPUTED_VALUE"""),"38хм")</f>
        <v>38хм</v>
      </c>
      <c r="D822" s="131">
        <f ca="1">IFERROR(__xludf.DUMMYFUNCTION("""COMPUTED_VALUE"""),90)</f>
        <v>90</v>
      </c>
      <c r="E822" s="131"/>
      <c r="F822" s="132" t="str">
        <f ca="1">IFERROR(__xludf.DUMMYFUNCTION("""COMPUTED_VALUE"""),"3ГП . В1,ll од 4000-5500")</f>
        <v>3ГП . В1,ll од 4000-5500</v>
      </c>
      <c r="G822" s="133">
        <f ca="1">IFERROR(__xludf.DUMMYFUNCTION("""COMPUTED_VALUE"""),0.145999999999999)</f>
        <v>0.14599999999999899</v>
      </c>
      <c r="H822" s="133"/>
      <c r="I822" s="134">
        <f ca="1">IFERROR(__xludf.DUMMYFUNCTION("""COMPUTED_VALUE"""),135000)</f>
        <v>135000</v>
      </c>
    </row>
    <row r="823" spans="2:9" x14ac:dyDescent="0.3">
      <c r="B823" s="130" t="str">
        <f ca="1">IFERROR(__xludf.DUMMYFUNCTION("""COMPUTED_VALUE"""),"круг")</f>
        <v>круг</v>
      </c>
      <c r="C823" s="125" t="str">
        <f ca="1">IFERROR(__xludf.DUMMYFUNCTION("""COMPUTED_VALUE"""),"38хм")</f>
        <v>38хм</v>
      </c>
      <c r="D823" s="131">
        <f ca="1">IFERROR(__xludf.DUMMYFUNCTION("""COMPUTED_VALUE"""),95)</f>
        <v>95</v>
      </c>
      <c r="E823" s="131"/>
      <c r="F823" s="132" t="str">
        <f ca="1">IFERROR(__xludf.DUMMYFUNCTION("""COMPUTED_VALUE"""),"2ГП ")</f>
        <v xml:space="preserve">2ГП </v>
      </c>
      <c r="G823" s="133">
        <f ca="1">IFERROR(__xludf.DUMMYFUNCTION("""COMPUTED_VALUE"""),2.246)</f>
        <v>2.246</v>
      </c>
      <c r="H823" s="133"/>
      <c r="I823" s="134">
        <f ca="1">IFERROR(__xludf.DUMMYFUNCTION("""COMPUTED_VALUE"""),135000)</f>
        <v>135000</v>
      </c>
    </row>
    <row r="824" spans="2:9" x14ac:dyDescent="0.3">
      <c r="B824" s="130" t="str">
        <f ca="1">IFERROR(__xludf.DUMMYFUNCTION("""COMPUTED_VALUE"""),"круг")</f>
        <v>круг</v>
      </c>
      <c r="C824" s="125" t="str">
        <f ca="1">IFERROR(__xludf.DUMMYFUNCTION("""COMPUTED_VALUE"""),"38хм")</f>
        <v>38хм</v>
      </c>
      <c r="D824" s="131">
        <f ca="1">IFERROR(__xludf.DUMMYFUNCTION("""COMPUTED_VALUE"""),100)</f>
        <v>100</v>
      </c>
      <c r="E824" s="131"/>
      <c r="F824" s="132" t="str">
        <f ca="1">IFERROR(__xludf.DUMMYFUNCTION("""COMPUTED_VALUE"""),"Остаток проверь перед выставлением")</f>
        <v>Остаток проверь перед выставлением</v>
      </c>
      <c r="G824" s="133">
        <f ca="1">IFERROR(__xludf.DUMMYFUNCTION("""COMPUTED_VALUE"""),0.0379999999999999)</f>
        <v>3.7999999999999902E-2</v>
      </c>
      <c r="H824" s="133"/>
      <c r="I824" s="134">
        <f ca="1">IFERROR(__xludf.DUMMYFUNCTION("""COMPUTED_VALUE"""),140000)</f>
        <v>140000</v>
      </c>
    </row>
    <row r="825" spans="2:9" x14ac:dyDescent="0.3">
      <c r="B825" s="130" t="str">
        <f ca="1">IFERROR(__xludf.DUMMYFUNCTION("""COMPUTED_VALUE"""),"круг")</f>
        <v>круг</v>
      </c>
      <c r="C825" s="125" t="str">
        <f ca="1">IFERROR(__xludf.DUMMYFUNCTION("""COMPUTED_VALUE"""),"38хм")</f>
        <v>38хм</v>
      </c>
      <c r="D825" s="131">
        <f ca="1">IFERROR(__xludf.DUMMYFUNCTION("""COMPUTED_VALUE"""),105)</f>
        <v>105</v>
      </c>
      <c r="E825" s="131"/>
      <c r="F825" s="132" t="str">
        <f ca="1">IFERROR(__xludf.DUMMYFUNCTION("""COMPUTED_VALUE"""),"3ГП, НМВ")</f>
        <v>3ГП, НМВ</v>
      </c>
      <c r="G825" s="133">
        <f ca="1">IFERROR(__xludf.DUMMYFUNCTION("""COMPUTED_VALUE"""),0.107999999999999)</f>
        <v>0.107999999999999</v>
      </c>
      <c r="H825" s="133"/>
      <c r="I825" s="134">
        <f ca="1">IFERROR(__xludf.DUMMYFUNCTION("""COMPUTED_VALUE"""),130000)</f>
        <v>130000</v>
      </c>
    </row>
    <row r="826" spans="2:9" x14ac:dyDescent="0.3">
      <c r="B826" s="130" t="str">
        <f ca="1">IFERROR(__xludf.DUMMYFUNCTION("""COMPUTED_VALUE"""),"круг")</f>
        <v>круг</v>
      </c>
      <c r="C826" s="125" t="str">
        <f ca="1">IFERROR(__xludf.DUMMYFUNCTION("""COMPUTED_VALUE"""),"38хм")</f>
        <v>38хм</v>
      </c>
      <c r="D826" s="131">
        <f ca="1">IFERROR(__xludf.DUMMYFUNCTION("""COMPUTED_VALUE"""),105)</f>
        <v>105</v>
      </c>
      <c r="E826" s="131"/>
      <c r="F826" s="132" t="str">
        <f ca="1">IFERROR(__xludf.DUMMYFUNCTION("""COMPUTED_VALUE"""),"3ГП . В1,ll од 4000-5500")</f>
        <v>3ГП . В1,ll од 4000-5500</v>
      </c>
      <c r="G826" s="133">
        <f ca="1">IFERROR(__xludf.DUMMYFUNCTION("""COMPUTED_VALUE"""),2.513)</f>
        <v>2.5129999999999999</v>
      </c>
      <c r="H826" s="133"/>
      <c r="I826" s="134">
        <f ca="1">IFERROR(__xludf.DUMMYFUNCTION("""COMPUTED_VALUE"""),135000)</f>
        <v>135000</v>
      </c>
    </row>
    <row r="827" spans="2:9" x14ac:dyDescent="0.3">
      <c r="B827" s="130" t="str">
        <f ca="1">IFERROR(__xludf.DUMMYFUNCTION("""COMPUTED_VALUE"""),"круг")</f>
        <v>круг</v>
      </c>
      <c r="C827" s="125" t="str">
        <f ca="1">IFERROR(__xludf.DUMMYFUNCTION("""COMPUTED_VALUE"""),"38хм")</f>
        <v>38хм</v>
      </c>
      <c r="D827" s="131">
        <f ca="1">IFERROR(__xludf.DUMMYFUNCTION("""COMPUTED_VALUE"""),105)</f>
        <v>105</v>
      </c>
      <c r="E827" s="131"/>
      <c r="F827" s="132" t="str">
        <f ca="1">IFERROR(__xludf.DUMMYFUNCTION("""COMPUTED_VALUE"""),"3ГП . В1,ll од 4000-5500")</f>
        <v>3ГП . В1,ll од 4000-5500</v>
      </c>
      <c r="G827" s="133">
        <f ca="1">IFERROR(__xludf.DUMMYFUNCTION("""COMPUTED_VALUE"""),1.232)</f>
        <v>1.232</v>
      </c>
      <c r="H827" s="133"/>
      <c r="I827" s="134">
        <f ca="1">IFERROR(__xludf.DUMMYFUNCTION("""COMPUTED_VALUE"""),135000)</f>
        <v>135000</v>
      </c>
    </row>
    <row r="828" spans="2:9" x14ac:dyDescent="0.3">
      <c r="B828" s="130" t="str">
        <f ca="1">IFERROR(__xludf.DUMMYFUNCTION("""COMPUTED_VALUE"""),"круг")</f>
        <v>круг</v>
      </c>
      <c r="C828" s="125" t="str">
        <f ca="1">IFERROR(__xludf.DUMMYFUNCTION("""COMPUTED_VALUE"""),"38хм")</f>
        <v>38хм</v>
      </c>
      <c r="D828" s="131">
        <f ca="1">IFERROR(__xludf.DUMMYFUNCTION("""COMPUTED_VALUE"""),110)</f>
        <v>110</v>
      </c>
      <c r="E828" s="131"/>
      <c r="F828" s="132" t="str">
        <f ca="1">IFERROR(__xludf.DUMMYFUNCTION("""COMPUTED_VALUE"""),"ГОСТ4543/2590. 2гп")</f>
        <v>ГОСТ4543/2590. 2гп</v>
      </c>
      <c r="G828" s="133">
        <f ca="1">IFERROR(__xludf.DUMMYFUNCTION("""COMPUTED_VALUE"""),2.69)</f>
        <v>2.69</v>
      </c>
      <c r="H828" s="133"/>
      <c r="I828" s="134">
        <f ca="1">IFERROR(__xludf.DUMMYFUNCTION("""COMPUTED_VALUE"""),125000)</f>
        <v>125000</v>
      </c>
    </row>
    <row r="829" spans="2:9" x14ac:dyDescent="0.3">
      <c r="B829" s="130" t="str">
        <f ca="1">IFERROR(__xludf.DUMMYFUNCTION("""COMPUTED_VALUE"""),"круг")</f>
        <v>круг</v>
      </c>
      <c r="C829" s="125" t="str">
        <f ca="1">IFERROR(__xludf.DUMMYFUNCTION("""COMPUTED_VALUE"""),"38хм")</f>
        <v>38хм</v>
      </c>
      <c r="D829" s="131">
        <f ca="1">IFERROR(__xludf.DUMMYFUNCTION("""COMPUTED_VALUE"""),115)</f>
        <v>115</v>
      </c>
      <c r="E829" s="131"/>
      <c r="F829" s="132" t="str">
        <f ca="1">IFERROR(__xludf.DUMMYFUNCTION("""COMPUTED_VALUE"""),"2ГП ")</f>
        <v xml:space="preserve">2ГП </v>
      </c>
      <c r="G829" s="133">
        <f ca="1">IFERROR(__xludf.DUMMYFUNCTION("""COMPUTED_VALUE"""),1.99099999999999)</f>
        <v>1.9909999999999899</v>
      </c>
      <c r="H829" s="133"/>
      <c r="I829" s="134">
        <f ca="1">IFERROR(__xludf.DUMMYFUNCTION("""COMPUTED_VALUE"""),130000)</f>
        <v>130000</v>
      </c>
    </row>
    <row r="830" spans="2:9" x14ac:dyDescent="0.3">
      <c r="B830" s="130" t="str">
        <f ca="1">IFERROR(__xludf.DUMMYFUNCTION("""COMPUTED_VALUE"""),"круг")</f>
        <v>круг</v>
      </c>
      <c r="C830" s="125" t="str">
        <f ca="1">IFERROR(__xludf.DUMMYFUNCTION("""COMPUTED_VALUE"""),"38хм")</f>
        <v>38хм</v>
      </c>
      <c r="D830" s="131">
        <f ca="1">IFERROR(__xludf.DUMMYFUNCTION("""COMPUTED_VALUE"""),115)</f>
        <v>115</v>
      </c>
      <c r="E830" s="131"/>
      <c r="F830" s="132" t="str">
        <f ca="1">IFERROR(__xludf.DUMMYFUNCTION("""COMPUTED_VALUE"""),"2ГП отжиг")</f>
        <v>2ГП отжиг</v>
      </c>
      <c r="G830" s="133">
        <f ca="1">IFERROR(__xludf.DUMMYFUNCTION("""COMPUTED_VALUE"""),3.26)</f>
        <v>3.26</v>
      </c>
      <c r="H830" s="133"/>
      <c r="I830" s="134">
        <f ca="1">IFERROR(__xludf.DUMMYFUNCTION("""COMPUTED_VALUE"""),140000)</f>
        <v>140000</v>
      </c>
    </row>
    <row r="831" spans="2:9" x14ac:dyDescent="0.3">
      <c r="B831" s="130" t="str">
        <f ca="1">IFERROR(__xludf.DUMMYFUNCTION("""COMPUTED_VALUE"""),"круг")</f>
        <v>круг</v>
      </c>
      <c r="C831" s="125" t="str">
        <f ca="1">IFERROR(__xludf.DUMMYFUNCTION("""COMPUTED_VALUE"""),"38хм")</f>
        <v>38хм</v>
      </c>
      <c r="D831" s="131">
        <f ca="1">IFERROR(__xludf.DUMMYFUNCTION("""COMPUTED_VALUE"""),115)</f>
        <v>115</v>
      </c>
      <c r="E831" s="131"/>
      <c r="F831" s="132" t="str">
        <f ca="1">IFERROR(__xludf.DUMMYFUNCTION("""COMPUTED_VALUE"""),"2ГП отжиг")</f>
        <v>2ГП отжиг</v>
      </c>
      <c r="G831" s="133">
        <f ca="1">IFERROR(__xludf.DUMMYFUNCTION("""COMPUTED_VALUE"""),2.39)</f>
        <v>2.39</v>
      </c>
      <c r="H831" s="133"/>
      <c r="I831" s="134">
        <f ca="1">IFERROR(__xludf.DUMMYFUNCTION("""COMPUTED_VALUE"""),140000)</f>
        <v>140000</v>
      </c>
    </row>
    <row r="832" spans="2:9" x14ac:dyDescent="0.3">
      <c r="B832" s="130" t="str">
        <f ca="1">IFERROR(__xludf.DUMMYFUNCTION("""COMPUTED_VALUE"""),"круг")</f>
        <v>круг</v>
      </c>
      <c r="C832" s="125" t="str">
        <f ca="1">IFERROR(__xludf.DUMMYFUNCTION("""COMPUTED_VALUE"""),"38хм")</f>
        <v>38хм</v>
      </c>
      <c r="D832" s="131">
        <f ca="1">IFERROR(__xludf.DUMMYFUNCTION("""COMPUTED_VALUE"""),120)</f>
        <v>120</v>
      </c>
      <c r="E832" s="131"/>
      <c r="F832" s="132" t="str">
        <f ca="1">IFERROR(__xludf.DUMMYFUNCTION("""COMPUTED_VALUE"""),"3ГП . В1,ll од 4000-5500")</f>
        <v>3ГП . В1,ll од 4000-5500</v>
      </c>
      <c r="G832" s="133">
        <f ca="1">IFERROR(__xludf.DUMMYFUNCTION("""COMPUTED_VALUE"""),2.21199999999999)</f>
        <v>2.21199999999999</v>
      </c>
      <c r="H832" s="133"/>
      <c r="I832" s="134">
        <f ca="1">IFERROR(__xludf.DUMMYFUNCTION("""COMPUTED_VALUE"""),135000)</f>
        <v>135000</v>
      </c>
    </row>
    <row r="833" spans="2:9" x14ac:dyDescent="0.3">
      <c r="B833" s="130" t="str">
        <f ca="1">IFERROR(__xludf.DUMMYFUNCTION("""COMPUTED_VALUE"""),"круг")</f>
        <v>круг</v>
      </c>
      <c r="C833" s="125" t="str">
        <f ca="1">IFERROR(__xludf.DUMMYFUNCTION("""COMPUTED_VALUE"""),"38хм")</f>
        <v>38хм</v>
      </c>
      <c r="D833" s="131">
        <f ca="1">IFERROR(__xludf.DUMMYFUNCTION("""COMPUTED_VALUE"""),120)</f>
        <v>120</v>
      </c>
      <c r="E833" s="131"/>
      <c r="F833" s="132" t="str">
        <f ca="1">IFERROR(__xludf.DUMMYFUNCTION("""COMPUTED_VALUE"""),"3ГП . В1,ll од 4000-5500")</f>
        <v>3ГП . В1,ll од 4000-5500</v>
      </c>
      <c r="G833" s="133">
        <f ca="1">IFERROR(__xludf.DUMMYFUNCTION("""COMPUTED_VALUE"""),4.668)</f>
        <v>4.6680000000000001</v>
      </c>
      <c r="H833" s="133"/>
      <c r="I833" s="134">
        <f ca="1">IFERROR(__xludf.DUMMYFUNCTION("""COMPUTED_VALUE"""),135000)</f>
        <v>135000</v>
      </c>
    </row>
    <row r="834" spans="2:9" x14ac:dyDescent="0.3">
      <c r="B834" s="130" t="str">
        <f ca="1">IFERROR(__xludf.DUMMYFUNCTION("""COMPUTED_VALUE"""),"круг")</f>
        <v>круг</v>
      </c>
      <c r="C834" s="125" t="str">
        <f ca="1">IFERROR(__xludf.DUMMYFUNCTION("""COMPUTED_VALUE"""),"38хм")</f>
        <v>38хм</v>
      </c>
      <c r="D834" s="131">
        <f ca="1">IFERROR(__xludf.DUMMYFUNCTION("""COMPUTED_VALUE"""),120)</f>
        <v>120</v>
      </c>
      <c r="E834" s="131"/>
      <c r="F834" s="132" t="str">
        <f ca="1">IFERROR(__xludf.DUMMYFUNCTION("""COMPUTED_VALUE"""),"3ГП . В1,ll од 4000-5500")</f>
        <v>3ГП . В1,ll од 4000-5500</v>
      </c>
      <c r="G834" s="133">
        <f ca="1">IFERROR(__xludf.DUMMYFUNCTION("""COMPUTED_VALUE"""),0.927)</f>
        <v>0.92700000000000005</v>
      </c>
      <c r="H834" s="133"/>
      <c r="I834" s="134">
        <f ca="1">IFERROR(__xludf.DUMMYFUNCTION("""COMPUTED_VALUE"""),135000)</f>
        <v>135000</v>
      </c>
    </row>
    <row r="835" spans="2:9" x14ac:dyDescent="0.3">
      <c r="B835" s="130" t="str">
        <f ca="1">IFERROR(__xludf.DUMMYFUNCTION("""COMPUTED_VALUE"""),"круг")</f>
        <v>круг</v>
      </c>
      <c r="C835" s="125" t="str">
        <f ca="1">IFERROR(__xludf.DUMMYFUNCTION("""COMPUTED_VALUE"""),"38хм")</f>
        <v>38хм</v>
      </c>
      <c r="D835" s="131">
        <f ca="1">IFERROR(__xludf.DUMMYFUNCTION("""COMPUTED_VALUE"""),130)</f>
        <v>130</v>
      </c>
      <c r="E835" s="131"/>
      <c r="F835" s="132" t="str">
        <f ca="1">IFERROR(__xludf.DUMMYFUNCTION("""COMPUTED_VALUE"""),"2ГП , В1, ll")</f>
        <v>2ГП , В1, ll</v>
      </c>
      <c r="G835" s="133">
        <f ca="1">IFERROR(__xludf.DUMMYFUNCTION("""COMPUTED_VALUE"""),1.86299999999999)</f>
        <v>1.86299999999999</v>
      </c>
      <c r="H835" s="133"/>
      <c r="I835" s="134">
        <f ca="1">IFERROR(__xludf.DUMMYFUNCTION("""COMPUTED_VALUE"""),135000)</f>
        <v>135000</v>
      </c>
    </row>
    <row r="836" spans="2:9" x14ac:dyDescent="0.3">
      <c r="B836" s="130" t="str">
        <f ca="1">IFERROR(__xludf.DUMMYFUNCTION("""COMPUTED_VALUE"""),"круг")</f>
        <v>круг</v>
      </c>
      <c r="C836" s="125" t="str">
        <f ca="1">IFERROR(__xludf.DUMMYFUNCTION("""COMPUTED_VALUE"""),"38хм")</f>
        <v>38хм</v>
      </c>
      <c r="D836" s="131">
        <f ca="1">IFERROR(__xludf.DUMMYFUNCTION("""COMPUTED_VALUE"""),130)</f>
        <v>130</v>
      </c>
      <c r="E836" s="131"/>
      <c r="F836" s="132" t="str">
        <f ca="1">IFERROR(__xludf.DUMMYFUNCTION("""COMPUTED_VALUE"""),"2ГП , В1, ll")</f>
        <v>2ГП , В1, ll</v>
      </c>
      <c r="G836" s="133">
        <f ca="1">IFERROR(__xludf.DUMMYFUNCTION("""COMPUTED_VALUE"""),4.63)</f>
        <v>4.63</v>
      </c>
      <c r="H836" s="133"/>
      <c r="I836" s="134">
        <f ca="1">IFERROR(__xludf.DUMMYFUNCTION("""COMPUTED_VALUE"""),135000)</f>
        <v>135000</v>
      </c>
    </row>
    <row r="837" spans="2:9" x14ac:dyDescent="0.3">
      <c r="B837" s="130" t="str">
        <f ca="1">IFERROR(__xludf.DUMMYFUNCTION("""COMPUTED_VALUE"""),"круг")</f>
        <v>круг</v>
      </c>
      <c r="C837" s="125" t="str">
        <f ca="1">IFERROR(__xludf.DUMMYFUNCTION("""COMPUTED_VALUE"""),"38хм")</f>
        <v>38хм</v>
      </c>
      <c r="D837" s="131">
        <f ca="1">IFERROR(__xludf.DUMMYFUNCTION("""COMPUTED_VALUE"""),130)</f>
        <v>130</v>
      </c>
      <c r="E837" s="131"/>
      <c r="F837" s="132" t="str">
        <f ca="1">IFERROR(__xludf.DUMMYFUNCTION("""COMPUTED_VALUE"""),"2ГП , В1, ll")</f>
        <v>2ГП , В1, ll</v>
      </c>
      <c r="G837" s="133">
        <f ca="1">IFERROR(__xludf.DUMMYFUNCTION("""COMPUTED_VALUE"""),5.15)</f>
        <v>5.15</v>
      </c>
      <c r="H837" s="133"/>
      <c r="I837" s="134">
        <f ca="1">IFERROR(__xludf.DUMMYFUNCTION("""COMPUTED_VALUE"""),135000)</f>
        <v>135000</v>
      </c>
    </row>
    <row r="838" spans="2:9" x14ac:dyDescent="0.3">
      <c r="B838" s="130" t="str">
        <f ca="1">IFERROR(__xludf.DUMMYFUNCTION("""COMPUTED_VALUE"""),"круг")</f>
        <v>круг</v>
      </c>
      <c r="C838" s="125" t="str">
        <f ca="1">IFERROR(__xludf.DUMMYFUNCTION("""COMPUTED_VALUE"""),"38хм")</f>
        <v>38хм</v>
      </c>
      <c r="D838" s="131">
        <f ca="1">IFERROR(__xludf.DUMMYFUNCTION("""COMPUTED_VALUE"""),130)</f>
        <v>130</v>
      </c>
      <c r="E838" s="131"/>
      <c r="F838" s="132" t="str">
        <f ca="1">IFERROR(__xludf.DUMMYFUNCTION("""COMPUTED_VALUE"""),"2ГП , В1, ll")</f>
        <v>2ГП , В1, ll</v>
      </c>
      <c r="G838" s="133">
        <f ca="1">IFERROR(__xludf.DUMMYFUNCTION("""COMPUTED_VALUE"""),4.1)</f>
        <v>4.0999999999999996</v>
      </c>
      <c r="H838" s="133"/>
      <c r="I838" s="134">
        <f ca="1">IFERROR(__xludf.DUMMYFUNCTION("""COMPUTED_VALUE"""),135000)</f>
        <v>135000</v>
      </c>
    </row>
    <row r="839" spans="2:9" x14ac:dyDescent="0.3">
      <c r="B839" s="130" t="str">
        <f ca="1">IFERROR(__xludf.DUMMYFUNCTION("""COMPUTED_VALUE"""),"круг")</f>
        <v>круг</v>
      </c>
      <c r="C839" s="125" t="str">
        <f ca="1">IFERROR(__xludf.DUMMYFUNCTION("""COMPUTED_VALUE"""),"38хм")</f>
        <v>38хм</v>
      </c>
      <c r="D839" s="131">
        <f ca="1">IFERROR(__xludf.DUMMYFUNCTION("""COMPUTED_VALUE"""),130)</f>
        <v>130</v>
      </c>
      <c r="E839" s="131"/>
      <c r="F839" s="132" t="str">
        <f ca="1">IFERROR(__xludf.DUMMYFUNCTION("""COMPUTED_VALUE"""),"2ГП , В1, ll")</f>
        <v>2ГП , В1, ll</v>
      </c>
      <c r="G839" s="133">
        <f ca="1">IFERROR(__xludf.DUMMYFUNCTION("""COMPUTED_VALUE"""),5)</f>
        <v>5</v>
      </c>
      <c r="H839" s="133"/>
      <c r="I839" s="134">
        <f ca="1">IFERROR(__xludf.DUMMYFUNCTION("""COMPUTED_VALUE"""),135000)</f>
        <v>135000</v>
      </c>
    </row>
    <row r="840" spans="2:9" x14ac:dyDescent="0.3">
      <c r="B840" s="130" t="str">
        <f ca="1">IFERROR(__xludf.DUMMYFUNCTION("""COMPUTED_VALUE"""),"круг")</f>
        <v>круг</v>
      </c>
      <c r="C840" s="125" t="str">
        <f ca="1">IFERROR(__xludf.DUMMYFUNCTION("""COMPUTED_VALUE"""),"38хм")</f>
        <v>38хм</v>
      </c>
      <c r="D840" s="131">
        <f ca="1">IFERROR(__xludf.DUMMYFUNCTION("""COMPUTED_VALUE"""),140)</f>
        <v>140</v>
      </c>
      <c r="E840" s="131"/>
      <c r="F840" s="132" t="str">
        <f ca="1">IFERROR(__xludf.DUMMYFUNCTION("""COMPUTED_VALUE"""),"2ГП ")</f>
        <v xml:space="preserve">2ГП </v>
      </c>
      <c r="G840" s="133">
        <f ca="1">IFERROR(__xludf.DUMMYFUNCTION("""COMPUTED_VALUE"""),0.006)</f>
        <v>6.0000000000000001E-3</v>
      </c>
      <c r="H840" s="133"/>
      <c r="I840" s="134">
        <f ca="1">IFERROR(__xludf.DUMMYFUNCTION("""COMPUTED_VALUE"""),130000)</f>
        <v>130000</v>
      </c>
    </row>
    <row r="841" spans="2:9" x14ac:dyDescent="0.3">
      <c r="B841" s="130" t="str">
        <f ca="1">IFERROR(__xludf.DUMMYFUNCTION("""COMPUTED_VALUE"""),"круг")</f>
        <v>круг</v>
      </c>
      <c r="C841" s="125" t="str">
        <f ca="1">IFERROR(__xludf.DUMMYFUNCTION("""COMPUTED_VALUE"""),"38хм")</f>
        <v>38хм</v>
      </c>
      <c r="D841" s="131">
        <f ca="1">IFERROR(__xludf.DUMMYFUNCTION("""COMPUTED_VALUE"""),140)</f>
        <v>140</v>
      </c>
      <c r="E841" s="131"/>
      <c r="F841" s="132" t="str">
        <f ca="1">IFERROR(__xludf.DUMMYFUNCTION("""COMPUTED_VALUE"""),"3ГП . В1,ll од 4000-5500")</f>
        <v>3ГП . В1,ll од 4000-5500</v>
      </c>
      <c r="G841" s="133">
        <f ca="1">IFERROR(__xludf.DUMMYFUNCTION("""COMPUTED_VALUE"""),3.768)</f>
        <v>3.7679999999999998</v>
      </c>
      <c r="H841" s="133"/>
      <c r="I841" s="134">
        <f ca="1">IFERROR(__xludf.DUMMYFUNCTION("""COMPUTED_VALUE"""),135000)</f>
        <v>135000</v>
      </c>
    </row>
    <row r="842" spans="2:9" x14ac:dyDescent="0.3">
      <c r="B842" s="130" t="str">
        <f ca="1">IFERROR(__xludf.DUMMYFUNCTION("""COMPUTED_VALUE"""),"круг")</f>
        <v>круг</v>
      </c>
      <c r="C842" s="125" t="str">
        <f ca="1">IFERROR(__xludf.DUMMYFUNCTION("""COMPUTED_VALUE"""),"38хм")</f>
        <v>38хм</v>
      </c>
      <c r="D842" s="131">
        <f ca="1">IFERROR(__xludf.DUMMYFUNCTION("""COMPUTED_VALUE"""),140)</f>
        <v>140</v>
      </c>
      <c r="E842" s="131"/>
      <c r="F842" s="132" t="str">
        <f ca="1">IFERROR(__xludf.DUMMYFUNCTION("""COMPUTED_VALUE"""),"2ГП , В1, ll")</f>
        <v>2ГП , В1, ll</v>
      </c>
      <c r="G842" s="133">
        <f ca="1">IFERROR(__xludf.DUMMYFUNCTION("""COMPUTED_VALUE"""),4.2)</f>
        <v>4.2</v>
      </c>
      <c r="H842" s="133"/>
      <c r="I842" s="134">
        <f ca="1">IFERROR(__xludf.DUMMYFUNCTION("""COMPUTED_VALUE"""),135000)</f>
        <v>135000</v>
      </c>
    </row>
    <row r="843" spans="2:9" x14ac:dyDescent="0.3">
      <c r="B843" s="130" t="str">
        <f ca="1">IFERROR(__xludf.DUMMYFUNCTION("""COMPUTED_VALUE"""),"круг")</f>
        <v>круг</v>
      </c>
      <c r="C843" s="125" t="str">
        <f ca="1">IFERROR(__xludf.DUMMYFUNCTION("""COMPUTED_VALUE"""),"38хм")</f>
        <v>38хм</v>
      </c>
      <c r="D843" s="131">
        <f ca="1">IFERROR(__xludf.DUMMYFUNCTION("""COMPUTED_VALUE"""),140)</f>
        <v>140</v>
      </c>
      <c r="E843" s="131"/>
      <c r="F843" s="132" t="str">
        <f ca="1">IFERROR(__xludf.DUMMYFUNCTION("""COMPUTED_VALUE"""),"2ГП , В1, ll")</f>
        <v>2ГП , В1, ll</v>
      </c>
      <c r="G843" s="133">
        <f ca="1">IFERROR(__xludf.DUMMYFUNCTION("""COMPUTED_VALUE"""),5.3)</f>
        <v>5.3</v>
      </c>
      <c r="H843" s="133"/>
      <c r="I843" s="134">
        <f ca="1">IFERROR(__xludf.DUMMYFUNCTION("""COMPUTED_VALUE"""),135000)</f>
        <v>135000</v>
      </c>
    </row>
    <row r="844" spans="2:9" x14ac:dyDescent="0.3">
      <c r="B844" s="130" t="str">
        <f ca="1">IFERROR(__xludf.DUMMYFUNCTION("""COMPUTED_VALUE"""),"круг")</f>
        <v>круг</v>
      </c>
      <c r="C844" s="125" t="str">
        <f ca="1">IFERROR(__xludf.DUMMYFUNCTION("""COMPUTED_VALUE"""),"38хм")</f>
        <v>38хм</v>
      </c>
      <c r="D844" s="131">
        <f ca="1">IFERROR(__xludf.DUMMYFUNCTION("""COMPUTED_VALUE"""),140)</f>
        <v>140</v>
      </c>
      <c r="E844" s="131"/>
      <c r="F844" s="132" t="str">
        <f ca="1">IFERROR(__xludf.DUMMYFUNCTION("""COMPUTED_VALUE"""),"2ГП , В1, ll")</f>
        <v>2ГП , В1, ll</v>
      </c>
      <c r="G844" s="133">
        <f ca="1">IFERROR(__xludf.DUMMYFUNCTION("""COMPUTED_VALUE"""),5.3)</f>
        <v>5.3</v>
      </c>
      <c r="H844" s="133"/>
      <c r="I844" s="134">
        <f ca="1">IFERROR(__xludf.DUMMYFUNCTION("""COMPUTED_VALUE"""),135000)</f>
        <v>135000</v>
      </c>
    </row>
    <row r="845" spans="2:9" x14ac:dyDescent="0.3">
      <c r="B845" s="130" t="str">
        <f ca="1">IFERROR(__xludf.DUMMYFUNCTION("""COMPUTED_VALUE"""),"круг")</f>
        <v>круг</v>
      </c>
      <c r="C845" s="125" t="str">
        <f ca="1">IFERROR(__xludf.DUMMYFUNCTION("""COMPUTED_VALUE"""),"38хм")</f>
        <v>38хм</v>
      </c>
      <c r="D845" s="131">
        <f ca="1">IFERROR(__xludf.DUMMYFUNCTION("""COMPUTED_VALUE"""),150)</f>
        <v>150</v>
      </c>
      <c r="E845" s="131"/>
      <c r="F845" s="132" t="str">
        <f ca="1">IFERROR(__xludf.DUMMYFUNCTION("""COMPUTED_VALUE"""),"2ГП ")</f>
        <v xml:space="preserve">2ГП </v>
      </c>
      <c r="G845" s="133">
        <f ca="1">IFERROR(__xludf.DUMMYFUNCTION("""COMPUTED_VALUE"""),0.0360000000000004)</f>
        <v>3.60000000000004E-2</v>
      </c>
      <c r="H845" s="133"/>
      <c r="I845" s="134">
        <f ca="1">IFERROR(__xludf.DUMMYFUNCTION("""COMPUTED_VALUE"""),135000)</f>
        <v>135000</v>
      </c>
    </row>
    <row r="846" spans="2:9" x14ac:dyDescent="0.3">
      <c r="B846" s="130" t="str">
        <f ca="1">IFERROR(__xludf.DUMMYFUNCTION("""COMPUTED_VALUE"""),"круг")</f>
        <v>круг</v>
      </c>
      <c r="C846" s="125" t="str">
        <f ca="1">IFERROR(__xludf.DUMMYFUNCTION("""COMPUTED_VALUE"""),"38хм")</f>
        <v>38хм</v>
      </c>
      <c r="D846" s="131">
        <f ca="1">IFERROR(__xludf.DUMMYFUNCTION("""COMPUTED_VALUE"""),150)</f>
        <v>150</v>
      </c>
      <c r="E846" s="131"/>
      <c r="F846" s="132" t="str">
        <f ca="1">IFERROR(__xludf.DUMMYFUNCTION("""COMPUTED_VALUE"""),"2ГП ")</f>
        <v xml:space="preserve">2ГП </v>
      </c>
      <c r="G846" s="133">
        <f ca="1">IFERROR(__xludf.DUMMYFUNCTION("""COMPUTED_VALUE"""),1.39599999999999)</f>
        <v>1.3959999999999899</v>
      </c>
      <c r="H846" s="133"/>
      <c r="I846" s="134">
        <f ca="1">IFERROR(__xludf.DUMMYFUNCTION("""COMPUTED_VALUE"""),125000)</f>
        <v>125000</v>
      </c>
    </row>
    <row r="847" spans="2:9" x14ac:dyDescent="0.3">
      <c r="B847" s="130" t="str">
        <f ca="1">IFERROR(__xludf.DUMMYFUNCTION("""COMPUTED_VALUE"""),"круг")</f>
        <v>круг</v>
      </c>
      <c r="C847" s="125" t="str">
        <f ca="1">IFERROR(__xludf.DUMMYFUNCTION("""COMPUTED_VALUE"""),"38хм")</f>
        <v>38хм</v>
      </c>
      <c r="D847" s="131">
        <f ca="1">IFERROR(__xludf.DUMMYFUNCTION("""COMPUTED_VALUE"""),150)</f>
        <v>150</v>
      </c>
      <c r="E847" s="131"/>
      <c r="F847" s="132" t="str">
        <f ca="1">IFERROR(__xludf.DUMMYFUNCTION("""COMPUTED_VALUE"""),"3ГП . В1,ll од 4000-5500")</f>
        <v>3ГП . В1,ll од 4000-5500</v>
      </c>
      <c r="G847" s="133">
        <f ca="1">IFERROR(__xludf.DUMMYFUNCTION("""COMPUTED_VALUE"""),5.49)</f>
        <v>5.49</v>
      </c>
      <c r="H847" s="133"/>
      <c r="I847" s="134">
        <f ca="1">IFERROR(__xludf.DUMMYFUNCTION("""COMPUTED_VALUE"""),135000)</f>
        <v>135000</v>
      </c>
    </row>
    <row r="848" spans="2:9" x14ac:dyDescent="0.3">
      <c r="B848" s="130" t="str">
        <f ca="1">IFERROR(__xludf.DUMMYFUNCTION("""COMPUTED_VALUE"""),"круг")</f>
        <v>круг</v>
      </c>
      <c r="C848" s="125" t="str">
        <f ca="1">IFERROR(__xludf.DUMMYFUNCTION("""COMPUTED_VALUE"""),"38хм")</f>
        <v>38хм</v>
      </c>
      <c r="D848" s="131">
        <f ca="1">IFERROR(__xludf.DUMMYFUNCTION("""COMPUTED_VALUE"""),160)</f>
        <v>160</v>
      </c>
      <c r="E848" s="131"/>
      <c r="F848" s="132" t="str">
        <f ca="1">IFERROR(__xludf.DUMMYFUNCTION("""COMPUTED_VALUE"""),"3ГП . В1,ll од 4000-5500")</f>
        <v>3ГП . В1,ll од 4000-5500</v>
      </c>
      <c r="G848" s="133">
        <f ca="1">IFERROR(__xludf.DUMMYFUNCTION("""COMPUTED_VALUE"""),1.019)</f>
        <v>1.0189999999999999</v>
      </c>
      <c r="H848" s="133"/>
      <c r="I848" s="134">
        <f ca="1">IFERROR(__xludf.DUMMYFUNCTION("""COMPUTED_VALUE"""),135000)</f>
        <v>135000</v>
      </c>
    </row>
    <row r="849" spans="2:9" x14ac:dyDescent="0.3">
      <c r="B849" s="130" t="str">
        <f ca="1">IFERROR(__xludf.DUMMYFUNCTION("""COMPUTED_VALUE"""),"круг")</f>
        <v>круг</v>
      </c>
      <c r="C849" s="125" t="str">
        <f ca="1">IFERROR(__xludf.DUMMYFUNCTION("""COMPUTED_VALUE"""),"38хм")</f>
        <v>38хм</v>
      </c>
      <c r="D849" s="131">
        <f ca="1">IFERROR(__xludf.DUMMYFUNCTION("""COMPUTED_VALUE"""),160)</f>
        <v>160</v>
      </c>
      <c r="E849" s="131"/>
      <c r="F849" s="132" t="str">
        <f ca="1">IFERROR(__xludf.DUMMYFUNCTION("""COMPUTED_VALUE"""),"3ГП . В1,ll од 4000-5500")</f>
        <v>3ГП . В1,ll од 4000-5500</v>
      </c>
      <c r="G849" s="133">
        <f ca="1">IFERROR(__xludf.DUMMYFUNCTION("""COMPUTED_VALUE"""),5.664)</f>
        <v>5.6639999999999997</v>
      </c>
      <c r="H849" s="133"/>
      <c r="I849" s="134">
        <f ca="1">IFERROR(__xludf.DUMMYFUNCTION("""COMPUTED_VALUE"""),135000)</f>
        <v>135000</v>
      </c>
    </row>
    <row r="850" spans="2:9" x14ac:dyDescent="0.3">
      <c r="B850" s="130" t="str">
        <f ca="1">IFERROR(__xludf.DUMMYFUNCTION("""COMPUTED_VALUE"""),"круг")</f>
        <v>круг</v>
      </c>
      <c r="C850" s="125" t="str">
        <f ca="1">IFERROR(__xludf.DUMMYFUNCTION("""COMPUTED_VALUE"""),"38хм")</f>
        <v>38хм</v>
      </c>
      <c r="D850" s="131">
        <f ca="1">IFERROR(__xludf.DUMMYFUNCTION("""COMPUTED_VALUE"""),170)</f>
        <v>170</v>
      </c>
      <c r="E850" s="131"/>
      <c r="F850" s="132" t="str">
        <f ca="1">IFERROR(__xludf.DUMMYFUNCTION("""COMPUTED_VALUE"""),"3ГП, НМВ")</f>
        <v>3ГП, НМВ</v>
      </c>
      <c r="G850" s="133">
        <f ca="1">IFERROR(__xludf.DUMMYFUNCTION("""COMPUTED_VALUE"""),0.178)</f>
        <v>0.17799999999999999</v>
      </c>
      <c r="H850" s="133"/>
      <c r="I850" s="134">
        <f ca="1">IFERROR(__xludf.DUMMYFUNCTION("""COMPUTED_VALUE"""),130000)</f>
        <v>130000</v>
      </c>
    </row>
    <row r="851" spans="2:9" x14ac:dyDescent="0.3">
      <c r="B851" s="130" t="str">
        <f ca="1">IFERROR(__xludf.DUMMYFUNCTION("""COMPUTED_VALUE"""),"круг")</f>
        <v>круг</v>
      </c>
      <c r="C851" s="125" t="str">
        <f ca="1">IFERROR(__xludf.DUMMYFUNCTION("""COMPUTED_VALUE"""),"38хм")</f>
        <v>38хм</v>
      </c>
      <c r="D851" s="131">
        <f ca="1">IFERROR(__xludf.DUMMYFUNCTION("""COMPUTED_VALUE"""),170)</f>
        <v>170</v>
      </c>
      <c r="E851" s="131"/>
      <c r="F851" s="132" t="str">
        <f ca="1">IFERROR(__xludf.DUMMYFUNCTION("""COMPUTED_VALUE"""),"2ГП ")</f>
        <v xml:space="preserve">2ГП </v>
      </c>
      <c r="G851" s="133">
        <f ca="1">IFERROR(__xludf.DUMMYFUNCTION("""COMPUTED_VALUE"""),3.129)</f>
        <v>3.129</v>
      </c>
      <c r="H851" s="133"/>
      <c r="I851" s="134">
        <f ca="1">IFERROR(__xludf.DUMMYFUNCTION("""COMPUTED_VALUE"""),125000)</f>
        <v>125000</v>
      </c>
    </row>
    <row r="852" spans="2:9" x14ac:dyDescent="0.3">
      <c r="B852" s="130" t="str">
        <f ca="1">IFERROR(__xludf.DUMMYFUNCTION("""COMPUTED_VALUE"""),"круг")</f>
        <v>круг</v>
      </c>
      <c r="C852" s="125" t="str">
        <f ca="1">IFERROR(__xludf.DUMMYFUNCTION("""COMPUTED_VALUE"""),"38хм")</f>
        <v>38хм</v>
      </c>
      <c r="D852" s="131">
        <f ca="1">IFERROR(__xludf.DUMMYFUNCTION("""COMPUTED_VALUE"""),170)</f>
        <v>170</v>
      </c>
      <c r="E852" s="131"/>
      <c r="F852" s="132" t="str">
        <f ca="1">IFERROR(__xludf.DUMMYFUNCTION("""COMPUTED_VALUE"""),"3ГП . В1,ll од 4000-5500")</f>
        <v>3ГП . В1,ll од 4000-5500</v>
      </c>
      <c r="G852" s="133">
        <f ca="1">IFERROR(__xludf.DUMMYFUNCTION("""COMPUTED_VALUE"""),4.576)</f>
        <v>4.5759999999999996</v>
      </c>
      <c r="H852" s="133"/>
      <c r="I852" s="134">
        <f ca="1">IFERROR(__xludf.DUMMYFUNCTION("""COMPUTED_VALUE"""),135000)</f>
        <v>135000</v>
      </c>
    </row>
    <row r="853" spans="2:9" x14ac:dyDescent="0.3">
      <c r="B853" s="130" t="str">
        <f ca="1">IFERROR(__xludf.DUMMYFUNCTION("""COMPUTED_VALUE"""),"круг")</f>
        <v>круг</v>
      </c>
      <c r="C853" s="125" t="str">
        <f ca="1">IFERROR(__xludf.DUMMYFUNCTION("""COMPUTED_VALUE"""),"38хм")</f>
        <v>38хм</v>
      </c>
      <c r="D853" s="131">
        <f ca="1">IFERROR(__xludf.DUMMYFUNCTION("""COMPUTED_VALUE"""),170)</f>
        <v>170</v>
      </c>
      <c r="E853" s="131"/>
      <c r="F853" s="132" t="str">
        <f ca="1">IFERROR(__xludf.DUMMYFUNCTION("""COMPUTED_VALUE"""),"3ГП . В1,ll од 4000-5500")</f>
        <v>3ГП . В1,ll од 4000-5500</v>
      </c>
      <c r="G853" s="133">
        <f ca="1">IFERROR(__xludf.DUMMYFUNCTION("""COMPUTED_VALUE"""),0.916)</f>
        <v>0.91600000000000004</v>
      </c>
      <c r="H853" s="133"/>
      <c r="I853" s="134">
        <f ca="1">IFERROR(__xludf.DUMMYFUNCTION("""COMPUTED_VALUE"""),135000)</f>
        <v>135000</v>
      </c>
    </row>
    <row r="854" spans="2:9" x14ac:dyDescent="0.3">
      <c r="B854" s="130" t="str">
        <f ca="1">IFERROR(__xludf.DUMMYFUNCTION("""COMPUTED_VALUE"""),"круг")</f>
        <v>круг</v>
      </c>
      <c r="C854" s="125" t="str">
        <f ca="1">IFERROR(__xludf.DUMMYFUNCTION("""COMPUTED_VALUE"""),"38хм")</f>
        <v>38хм</v>
      </c>
      <c r="D854" s="131">
        <f ca="1">IFERROR(__xludf.DUMMYFUNCTION("""COMPUTED_VALUE"""),180)</f>
        <v>180</v>
      </c>
      <c r="E854" s="131"/>
      <c r="F854" s="132" t="str">
        <f ca="1">IFERROR(__xludf.DUMMYFUNCTION("""COMPUTED_VALUE"""),"3ГП, НМВ")</f>
        <v>3ГП, НМВ</v>
      </c>
      <c r="G854" s="133">
        <f ca="1">IFERROR(__xludf.DUMMYFUNCTION("""COMPUTED_VALUE"""),0.00700000000000056)</f>
        <v>7.0000000000005596E-3</v>
      </c>
      <c r="H854" s="133"/>
      <c r="I854" s="134">
        <f ca="1">IFERROR(__xludf.DUMMYFUNCTION("""COMPUTED_VALUE"""),130000)</f>
        <v>130000</v>
      </c>
    </row>
    <row r="855" spans="2:9" x14ac:dyDescent="0.3">
      <c r="B855" s="130" t="str">
        <f ca="1">IFERROR(__xludf.DUMMYFUNCTION("""COMPUTED_VALUE"""),"круг")</f>
        <v>круг</v>
      </c>
      <c r="C855" s="125" t="str">
        <f ca="1">IFERROR(__xludf.DUMMYFUNCTION("""COMPUTED_VALUE"""),"38хм")</f>
        <v>38хм</v>
      </c>
      <c r="D855" s="131">
        <f ca="1">IFERROR(__xludf.DUMMYFUNCTION("""COMPUTED_VALUE"""),180)</f>
        <v>180</v>
      </c>
      <c r="E855" s="131"/>
      <c r="F855" s="132" t="str">
        <f ca="1">IFERROR(__xludf.DUMMYFUNCTION("""COMPUTED_VALUE"""),"2ГП ")</f>
        <v xml:space="preserve">2ГП </v>
      </c>
      <c r="G855" s="133">
        <f ca="1">IFERROR(__xludf.DUMMYFUNCTION("""COMPUTED_VALUE"""),3.79599999999999)</f>
        <v>3.79599999999999</v>
      </c>
      <c r="H855" s="133"/>
      <c r="I855" s="134">
        <f ca="1">IFERROR(__xludf.DUMMYFUNCTION("""COMPUTED_VALUE"""),130000)</f>
        <v>130000</v>
      </c>
    </row>
    <row r="856" spans="2:9" x14ac:dyDescent="0.3">
      <c r="B856" s="130" t="str">
        <f ca="1">IFERROR(__xludf.DUMMYFUNCTION("""COMPUTED_VALUE"""),"круг")</f>
        <v>круг</v>
      </c>
      <c r="C856" s="125" t="str">
        <f ca="1">IFERROR(__xludf.DUMMYFUNCTION("""COMPUTED_VALUE"""),"38хм")</f>
        <v>38хм</v>
      </c>
      <c r="D856" s="131">
        <f ca="1">IFERROR(__xludf.DUMMYFUNCTION("""COMPUTED_VALUE"""),190)</f>
        <v>190</v>
      </c>
      <c r="E856" s="131"/>
      <c r="F856" s="132" t="str">
        <f ca="1">IFERROR(__xludf.DUMMYFUNCTION("""COMPUTED_VALUE"""),"3ГП")</f>
        <v>3ГП</v>
      </c>
      <c r="G856" s="133">
        <f ca="1">IFERROR(__xludf.DUMMYFUNCTION("""COMPUTED_VALUE"""),0.342)</f>
        <v>0.34200000000000003</v>
      </c>
      <c r="H856" s="133"/>
      <c r="I856" s="134">
        <f ca="1">IFERROR(__xludf.DUMMYFUNCTION("""COMPUTED_VALUE"""),135000)</f>
        <v>135000</v>
      </c>
    </row>
    <row r="857" spans="2:9" x14ac:dyDescent="0.3">
      <c r="B857" s="130" t="str">
        <f ca="1">IFERROR(__xludf.DUMMYFUNCTION("""COMPUTED_VALUE"""),"круг")</f>
        <v>круг</v>
      </c>
      <c r="C857" s="125" t="str">
        <f ca="1">IFERROR(__xludf.DUMMYFUNCTION("""COMPUTED_VALUE"""),"38хм")</f>
        <v>38хм</v>
      </c>
      <c r="D857" s="131">
        <f ca="1">IFERROR(__xludf.DUMMYFUNCTION("""COMPUTED_VALUE"""),200)</f>
        <v>200</v>
      </c>
      <c r="E857" s="131"/>
      <c r="F857" s="132" t="str">
        <f ca="1">IFERROR(__xludf.DUMMYFUNCTION("""COMPUTED_VALUE"""),"2ГП ")</f>
        <v xml:space="preserve">2ГП </v>
      </c>
      <c r="G857" s="133">
        <f ca="1">IFERROR(__xludf.DUMMYFUNCTION("""COMPUTED_VALUE"""),0.598)</f>
        <v>0.59799999999999998</v>
      </c>
      <c r="H857" s="133"/>
      <c r="I857" s="134">
        <f ca="1">IFERROR(__xludf.DUMMYFUNCTION("""COMPUTED_VALUE"""),130000)</f>
        <v>130000</v>
      </c>
    </row>
    <row r="858" spans="2:9" x14ac:dyDescent="0.3">
      <c r="B858" s="130" t="str">
        <f ca="1">IFERROR(__xludf.DUMMYFUNCTION("""COMPUTED_VALUE"""),"круг")</f>
        <v>круг</v>
      </c>
      <c r="C858" s="125" t="str">
        <f ca="1">IFERROR(__xludf.DUMMYFUNCTION("""COMPUTED_VALUE"""),"38хм")</f>
        <v>38хм</v>
      </c>
      <c r="D858" s="131">
        <f ca="1">IFERROR(__xludf.DUMMYFUNCTION("""COMPUTED_VALUE"""),210)</f>
        <v>210</v>
      </c>
      <c r="E858" s="131"/>
      <c r="F858" s="132" t="str">
        <f ca="1">IFERROR(__xludf.DUMMYFUNCTION("""COMPUTED_VALUE"""),"3 гп, контроль НМВ")</f>
        <v>3 гп, контроль НМВ</v>
      </c>
      <c r="G858" s="133">
        <f ca="1">IFERROR(__xludf.DUMMYFUNCTION("""COMPUTED_VALUE"""),0.0450000000000008)</f>
        <v>4.5000000000000803E-2</v>
      </c>
      <c r="H858" s="133"/>
      <c r="I858" s="134">
        <f ca="1">IFERROR(__xludf.DUMMYFUNCTION("""COMPUTED_VALUE"""),170000)</f>
        <v>170000</v>
      </c>
    </row>
    <row r="859" spans="2:9" x14ac:dyDescent="0.3">
      <c r="B859" s="130" t="str">
        <f ca="1">IFERROR(__xludf.DUMMYFUNCTION("""COMPUTED_VALUE"""),"круг")</f>
        <v>круг</v>
      </c>
      <c r="C859" s="125" t="str">
        <f ca="1">IFERROR(__xludf.DUMMYFUNCTION("""COMPUTED_VALUE"""),"38хм")</f>
        <v>38хм</v>
      </c>
      <c r="D859" s="131">
        <f ca="1">IFERROR(__xludf.DUMMYFUNCTION("""COMPUTED_VALUE"""),210)</f>
        <v>210</v>
      </c>
      <c r="E859" s="131"/>
      <c r="F859" s="132" t="str">
        <f ca="1">IFERROR(__xludf.DUMMYFUNCTION("""COMPUTED_VALUE"""),"3ГП . В1, од 4000-5500")</f>
        <v>3ГП . В1, од 4000-5500</v>
      </c>
      <c r="G859" s="133">
        <f ca="1">IFERROR(__xludf.DUMMYFUNCTION("""COMPUTED_VALUE"""),0.953000000000001)</f>
        <v>0.95300000000000096</v>
      </c>
      <c r="H859" s="133"/>
      <c r="I859" s="134">
        <f ca="1">IFERROR(__xludf.DUMMYFUNCTION("""COMPUTED_VALUE"""),150000)</f>
        <v>150000</v>
      </c>
    </row>
    <row r="860" spans="2:9" x14ac:dyDescent="0.3">
      <c r="B860" s="130" t="str">
        <f ca="1">IFERROR(__xludf.DUMMYFUNCTION("""COMPUTED_VALUE"""),"круг")</f>
        <v>круг</v>
      </c>
      <c r="C860" s="125" t="str">
        <f ca="1">IFERROR(__xludf.DUMMYFUNCTION("""COMPUTED_VALUE"""),"38хм")</f>
        <v>38хм</v>
      </c>
      <c r="D860" s="131">
        <f ca="1">IFERROR(__xludf.DUMMYFUNCTION("""COMPUTED_VALUE"""),220)</f>
        <v>220</v>
      </c>
      <c r="E860" s="131"/>
      <c r="F860" s="132" t="str">
        <f ca="1">IFERROR(__xludf.DUMMYFUNCTION("""COMPUTED_VALUE"""),"3 гп, контроль НМВ")</f>
        <v>3 гп, контроль НМВ</v>
      </c>
      <c r="G860" s="133">
        <f ca="1">IFERROR(__xludf.DUMMYFUNCTION("""COMPUTED_VALUE"""),2.857)</f>
        <v>2.8570000000000002</v>
      </c>
      <c r="H860" s="133"/>
      <c r="I860" s="134">
        <f ca="1">IFERROR(__xludf.DUMMYFUNCTION("""COMPUTED_VALUE"""),170000)</f>
        <v>170000</v>
      </c>
    </row>
    <row r="861" spans="2:9" x14ac:dyDescent="0.3">
      <c r="B861" s="130" t="str">
        <f ca="1">IFERROR(__xludf.DUMMYFUNCTION("""COMPUTED_VALUE"""),"круг")</f>
        <v>круг</v>
      </c>
      <c r="C861" s="125" t="str">
        <f ca="1">IFERROR(__xludf.DUMMYFUNCTION("""COMPUTED_VALUE"""),"38хм")</f>
        <v>38хм</v>
      </c>
      <c r="D861" s="131">
        <f ca="1">IFERROR(__xludf.DUMMYFUNCTION("""COMPUTED_VALUE"""),240)</f>
        <v>240</v>
      </c>
      <c r="E861" s="131"/>
      <c r="F861" s="132" t="str">
        <f ca="1">IFERROR(__xludf.DUMMYFUNCTION("""COMPUTED_VALUE"""),"2ГП ")</f>
        <v xml:space="preserve">2ГП </v>
      </c>
      <c r="G861" s="133">
        <f ca="1">IFERROR(__xludf.DUMMYFUNCTION("""COMPUTED_VALUE"""),0.0739999999999998)</f>
        <v>7.3999999999999802E-2</v>
      </c>
      <c r="H861" s="133"/>
      <c r="I861" s="134">
        <f ca="1">IFERROR(__xludf.DUMMYFUNCTION("""COMPUTED_VALUE"""),155000)</f>
        <v>155000</v>
      </c>
    </row>
    <row r="862" spans="2:9" x14ac:dyDescent="0.3">
      <c r="B862" s="130" t="str">
        <f ca="1">IFERROR(__xludf.DUMMYFUNCTION("""COMPUTED_VALUE"""),"круг")</f>
        <v>круг</v>
      </c>
      <c r="C862" s="125" t="str">
        <f ca="1">IFERROR(__xludf.DUMMYFUNCTION("""COMPUTED_VALUE"""),"38хм")</f>
        <v>38хм</v>
      </c>
      <c r="D862" s="131">
        <f ca="1">IFERROR(__xludf.DUMMYFUNCTION("""COMPUTED_VALUE"""),250)</f>
        <v>250</v>
      </c>
      <c r="E862" s="131"/>
      <c r="F862" s="132" t="str">
        <f ca="1">IFERROR(__xludf.DUMMYFUNCTION("""COMPUTED_VALUE"""),"2ГП ")</f>
        <v xml:space="preserve">2ГП </v>
      </c>
      <c r="G862" s="133">
        <f ca="1">IFERROR(__xludf.DUMMYFUNCTION("""COMPUTED_VALUE"""),0.102)</f>
        <v>0.10199999999999999</v>
      </c>
      <c r="H862" s="133"/>
      <c r="I862" s="134">
        <f ca="1">IFERROR(__xludf.DUMMYFUNCTION("""COMPUTED_VALUE"""),185000)</f>
        <v>185000</v>
      </c>
    </row>
    <row r="863" spans="2:9" x14ac:dyDescent="0.3">
      <c r="B863" s="130" t="str">
        <f ca="1">IFERROR(__xludf.DUMMYFUNCTION("""COMPUTED_VALUE"""),"круг")</f>
        <v>круг</v>
      </c>
      <c r="C863" s="125" t="str">
        <f ca="1">IFERROR(__xludf.DUMMYFUNCTION("""COMPUTED_VALUE"""),"38хм")</f>
        <v>38хм</v>
      </c>
      <c r="D863" s="131">
        <f ca="1">IFERROR(__xludf.DUMMYFUNCTION("""COMPUTED_VALUE"""),270)</f>
        <v>270</v>
      </c>
      <c r="E863" s="131"/>
      <c r="F863" s="132" t="str">
        <f ca="1">IFERROR(__xludf.DUMMYFUNCTION("""COMPUTED_VALUE"""),"3 гп, контроль НМВ")</f>
        <v>3 гп, контроль НМВ</v>
      </c>
      <c r="G863" s="133">
        <f ca="1">IFERROR(__xludf.DUMMYFUNCTION("""COMPUTED_VALUE"""),0.054)</f>
        <v>5.3999999999999999E-2</v>
      </c>
      <c r="H863" s="133"/>
      <c r="I863" s="134">
        <f ca="1">IFERROR(__xludf.DUMMYFUNCTION("""COMPUTED_VALUE"""),195000)</f>
        <v>195000</v>
      </c>
    </row>
    <row r="864" spans="2:9" x14ac:dyDescent="0.3">
      <c r="B864" s="130" t="str">
        <f ca="1">IFERROR(__xludf.DUMMYFUNCTION("""COMPUTED_VALUE"""),"круг")</f>
        <v>круг</v>
      </c>
      <c r="C864" s="125" t="str">
        <f ca="1">IFERROR(__xludf.DUMMYFUNCTION("""COMPUTED_VALUE"""),"38хм")</f>
        <v>38хм</v>
      </c>
      <c r="D864" s="131">
        <f ca="1">IFERROR(__xludf.DUMMYFUNCTION("""COMPUTED_VALUE"""),270)</f>
        <v>270</v>
      </c>
      <c r="E864" s="131"/>
      <c r="F864" s="132" t="str">
        <f ca="1">IFERROR(__xludf.DUMMYFUNCTION("""COMPUTED_VALUE"""),"3ГП, ТУ 14-1-2118, отжиг 4000-5500")</f>
        <v>3ГП, ТУ 14-1-2118, отжиг 4000-5500</v>
      </c>
      <c r="G864" s="133">
        <f ca="1">IFERROR(__xludf.DUMMYFUNCTION("""COMPUTED_VALUE"""),5.59699999999999)</f>
        <v>5.5969999999999898</v>
      </c>
      <c r="H864" s="133"/>
      <c r="I864" s="134">
        <f ca="1">IFERROR(__xludf.DUMMYFUNCTION("""COMPUTED_VALUE"""),180000)</f>
        <v>180000</v>
      </c>
    </row>
    <row r="865" spans="2:9" x14ac:dyDescent="0.3">
      <c r="B865" s="130" t="str">
        <f ca="1">IFERROR(__xludf.DUMMYFUNCTION("""COMPUTED_VALUE"""),"круг")</f>
        <v>круг</v>
      </c>
      <c r="C865" s="125" t="str">
        <f ca="1">IFERROR(__xludf.DUMMYFUNCTION("""COMPUTED_VALUE"""),"38хм")</f>
        <v>38хм</v>
      </c>
      <c r="D865" s="131">
        <f ca="1">IFERROR(__xludf.DUMMYFUNCTION("""COMPUTED_VALUE"""),280)</f>
        <v>280</v>
      </c>
      <c r="E865" s="131"/>
      <c r="F865" s="132"/>
      <c r="G865" s="133">
        <f ca="1">IFERROR(__xludf.DUMMYFUNCTION("""COMPUTED_VALUE"""),0.164)</f>
        <v>0.16400000000000001</v>
      </c>
      <c r="H865" s="133"/>
      <c r="I865" s="134">
        <f ca="1">IFERROR(__xludf.DUMMYFUNCTION("""COMPUTED_VALUE"""),195000)</f>
        <v>195000</v>
      </c>
    </row>
    <row r="866" spans="2:9" x14ac:dyDescent="0.3">
      <c r="B866" s="130" t="str">
        <f ca="1">IFERROR(__xludf.DUMMYFUNCTION("""COMPUTED_VALUE"""),"круг")</f>
        <v>круг</v>
      </c>
      <c r="C866" s="125" t="str">
        <f ca="1">IFERROR(__xludf.DUMMYFUNCTION("""COMPUTED_VALUE"""),"38хм")</f>
        <v>38хм</v>
      </c>
      <c r="D866" s="131">
        <f ca="1">IFERROR(__xludf.DUMMYFUNCTION("""COMPUTED_VALUE"""),300)</f>
        <v>300</v>
      </c>
      <c r="E866" s="131"/>
      <c r="F866" s="132" t="str">
        <f ca="1">IFERROR(__xludf.DUMMYFUNCTION("""COMPUTED_VALUE"""),"3 гп")</f>
        <v>3 гп</v>
      </c>
      <c r="G866" s="133">
        <f ca="1">IFERROR(__xludf.DUMMYFUNCTION("""COMPUTED_VALUE"""),0.104)</f>
        <v>0.104</v>
      </c>
      <c r="H866" s="133"/>
      <c r="I866" s="134">
        <f ca="1">IFERROR(__xludf.DUMMYFUNCTION("""COMPUTED_VALUE"""),220000)</f>
        <v>220000</v>
      </c>
    </row>
    <row r="867" spans="2:9" x14ac:dyDescent="0.3">
      <c r="B867" s="130" t="str">
        <f ca="1">IFERROR(__xludf.DUMMYFUNCTION("""COMPUTED_VALUE"""),"круг")</f>
        <v>круг</v>
      </c>
      <c r="C867" s="125" t="str">
        <f ca="1">IFERROR(__xludf.DUMMYFUNCTION("""COMPUTED_VALUE"""),"38хм")</f>
        <v>38хм</v>
      </c>
      <c r="D867" s="131">
        <f ca="1">IFERROR(__xludf.DUMMYFUNCTION("""COMPUTED_VALUE"""),300)</f>
        <v>300</v>
      </c>
      <c r="E867" s="131"/>
      <c r="F867" s="132" t="str">
        <f ca="1">IFERROR(__xludf.DUMMYFUNCTION("""COMPUTED_VALUE"""),"3ГП, ТУ 14-1-2118, отжиг 4000-5500")</f>
        <v>3ГП, ТУ 14-1-2118, отжиг 4000-5500</v>
      </c>
      <c r="G867" s="133">
        <f ca="1">IFERROR(__xludf.DUMMYFUNCTION("""COMPUTED_VALUE"""),1.73299999999999)</f>
        <v>1.7329999999999901</v>
      </c>
      <c r="H867" s="133"/>
      <c r="I867" s="134">
        <f ca="1">IFERROR(__xludf.DUMMYFUNCTION("""COMPUTED_VALUE"""),195000)</f>
        <v>195000</v>
      </c>
    </row>
    <row r="868" spans="2:9" x14ac:dyDescent="0.3">
      <c r="B868" s="130" t="str">
        <f ca="1">IFERROR(__xludf.DUMMYFUNCTION("""COMPUTED_VALUE"""),"круг")</f>
        <v>круг</v>
      </c>
      <c r="C868" s="125" t="str">
        <f ca="1">IFERROR(__xludf.DUMMYFUNCTION("""COMPUTED_VALUE"""),"38хм")</f>
        <v>38хм</v>
      </c>
      <c r="D868" s="131">
        <f ca="1">IFERROR(__xludf.DUMMYFUNCTION("""COMPUTED_VALUE"""),320)</f>
        <v>320</v>
      </c>
      <c r="E868" s="131"/>
      <c r="F868" s="132" t="str">
        <f ca="1">IFERROR(__xludf.DUMMYFUNCTION("""COMPUTED_VALUE"""),"3 гп")</f>
        <v>3 гп</v>
      </c>
      <c r="G868" s="133">
        <f ca="1">IFERROR(__xludf.DUMMYFUNCTION("""COMPUTED_VALUE"""),0.402)</f>
        <v>0.40200000000000002</v>
      </c>
      <c r="H868" s="133"/>
      <c r="I868" s="134">
        <f ca="1">IFERROR(__xludf.DUMMYFUNCTION("""COMPUTED_VALUE"""),220000)</f>
        <v>220000</v>
      </c>
    </row>
    <row r="869" spans="2:9" x14ac:dyDescent="0.3">
      <c r="B869" s="130" t="str">
        <f ca="1">IFERROR(__xludf.DUMMYFUNCTION("""COMPUTED_VALUE"""),"круг")</f>
        <v>круг</v>
      </c>
      <c r="C869" s="125" t="str">
        <f ca="1">IFERROR(__xludf.DUMMYFUNCTION("""COMPUTED_VALUE"""),"38хм")</f>
        <v>38хм</v>
      </c>
      <c r="D869" s="131">
        <f ca="1">IFERROR(__xludf.DUMMYFUNCTION("""COMPUTED_VALUE"""),320)</f>
        <v>320</v>
      </c>
      <c r="E869" s="131"/>
      <c r="F869" s="132" t="str">
        <f ca="1">IFERROR(__xludf.DUMMYFUNCTION("""COMPUTED_VALUE"""),"3ГП, ТУ 14-1-2118, отжиг 4000-5500")</f>
        <v>3ГП, ТУ 14-1-2118, отжиг 4000-5500</v>
      </c>
      <c r="G869" s="133">
        <f ca="1">IFERROR(__xludf.DUMMYFUNCTION("""COMPUTED_VALUE"""),5.465)</f>
        <v>5.4649999999999999</v>
      </c>
      <c r="H869" s="133"/>
      <c r="I869" s="134">
        <f ca="1">IFERROR(__xludf.DUMMYFUNCTION("""COMPUTED_VALUE"""),220000)</f>
        <v>220000</v>
      </c>
    </row>
    <row r="870" spans="2:9" x14ac:dyDescent="0.3">
      <c r="B870" s="130" t="str">
        <f ca="1">IFERROR(__xludf.DUMMYFUNCTION("""COMPUTED_VALUE"""),"круг")</f>
        <v>круг</v>
      </c>
      <c r="C870" s="125" t="str">
        <f ca="1">IFERROR(__xludf.DUMMYFUNCTION("""COMPUTED_VALUE"""),"38хм")</f>
        <v>38хм</v>
      </c>
      <c r="D870" s="131">
        <f ca="1">IFERROR(__xludf.DUMMYFUNCTION("""COMPUTED_VALUE"""),350)</f>
        <v>350</v>
      </c>
      <c r="E870" s="131"/>
      <c r="F870" s="132" t="str">
        <f ca="1">IFERROR(__xludf.DUMMYFUNCTION("""COMPUTED_VALUE"""),"3 гп")</f>
        <v>3 гп</v>
      </c>
      <c r="G870" s="133">
        <f ca="1">IFERROR(__xludf.DUMMYFUNCTION("""COMPUTED_VALUE"""),3.726)</f>
        <v>3.726</v>
      </c>
      <c r="H870" s="133"/>
      <c r="I870" s="134">
        <f ca="1">IFERROR(__xludf.DUMMYFUNCTION("""COMPUTED_VALUE"""),220000)</f>
        <v>220000</v>
      </c>
    </row>
    <row r="871" spans="2:9" x14ac:dyDescent="0.3">
      <c r="B871" s="130" t="str">
        <f ca="1">IFERROR(__xludf.DUMMYFUNCTION("""COMPUTED_VALUE"""),"круг")</f>
        <v>круг</v>
      </c>
      <c r="C871" s="125" t="str">
        <f ca="1">IFERROR(__xludf.DUMMYFUNCTION("""COMPUTED_VALUE"""),"38хм (ков)")</f>
        <v>38хм (ков)</v>
      </c>
      <c r="D871" s="131">
        <f ca="1">IFERROR(__xludf.DUMMYFUNCTION("""COMPUTED_VALUE"""),360)</f>
        <v>360</v>
      </c>
      <c r="E871" s="131"/>
      <c r="F871" s="132" t="str">
        <f ca="1">IFERROR(__xludf.DUMMYFUNCTION("""COMPUTED_VALUE""")," УЗК, НМВ")</f>
        <v xml:space="preserve"> УЗК, НМВ</v>
      </c>
      <c r="G871" s="133">
        <f ca="1">IFERROR(__xludf.DUMMYFUNCTION("""COMPUTED_VALUE"""),2.64)</f>
        <v>2.64</v>
      </c>
      <c r="H871" s="133"/>
      <c r="I871" s="134">
        <f ca="1">IFERROR(__xludf.DUMMYFUNCTION("""COMPUTED_VALUE"""),240000)</f>
        <v>240000</v>
      </c>
    </row>
    <row r="872" spans="2:9" x14ac:dyDescent="0.3">
      <c r="B872" s="130" t="str">
        <f ca="1">IFERROR(__xludf.DUMMYFUNCTION("""COMPUTED_VALUE"""),"круг ")</f>
        <v xml:space="preserve">круг </v>
      </c>
      <c r="C872" s="125" t="str">
        <f ca="1">IFERROR(__xludf.DUMMYFUNCTION("""COMPUTED_VALUE"""),"30ХМА ")</f>
        <v xml:space="preserve">30ХМА </v>
      </c>
      <c r="D872" s="131">
        <f ca="1">IFERROR(__xludf.DUMMYFUNCTION("""COMPUTED_VALUE"""),415)</f>
        <v>415</v>
      </c>
      <c r="E872" s="131"/>
      <c r="F872" s="132" t="str">
        <f ca="1">IFERROR(__xludf.DUMMYFUNCTION("""COMPUTED_VALUE"""),"УЗК , 5500 мм")</f>
        <v>УЗК , 5500 мм</v>
      </c>
      <c r="G872" s="133">
        <f ca="1">IFERROR(__xludf.DUMMYFUNCTION("""COMPUTED_VALUE"""),2.41)</f>
        <v>2.41</v>
      </c>
      <c r="H872" s="133"/>
      <c r="I872" s="134">
        <f ca="1">IFERROR(__xludf.DUMMYFUNCTION("""COMPUTED_VALUE"""),220000)</f>
        <v>220000</v>
      </c>
    </row>
    <row r="873" spans="2:9" x14ac:dyDescent="0.3">
      <c r="B873" s="130" t="str">
        <f ca="1">IFERROR(__xludf.DUMMYFUNCTION("""COMPUTED_VALUE"""),"круг")</f>
        <v>круг</v>
      </c>
      <c r="C873" s="125" t="str">
        <f ca="1">IFERROR(__xludf.DUMMYFUNCTION("""COMPUTED_VALUE"""),"38хм (ков)")</f>
        <v>38хм (ков)</v>
      </c>
      <c r="D873" s="131">
        <f ca="1">IFERROR(__xludf.DUMMYFUNCTION("""COMPUTED_VALUE"""),420)</f>
        <v>420</v>
      </c>
      <c r="E873" s="131"/>
      <c r="F873" s="132" t="str">
        <f ca="1">IFERROR(__xludf.DUMMYFUNCTION("""COMPUTED_VALUE""")," УЗК, НМВ")</f>
        <v xml:space="preserve"> УЗК, НМВ</v>
      </c>
      <c r="G873" s="133">
        <f ca="1">IFERROR(__xludf.DUMMYFUNCTION("""COMPUTED_VALUE"""),1.658)</f>
        <v>1.6579999999999999</v>
      </c>
      <c r="H873" s="133"/>
      <c r="I873" s="134">
        <f ca="1">IFERROR(__xludf.DUMMYFUNCTION("""COMPUTED_VALUE"""),240000)</f>
        <v>240000</v>
      </c>
    </row>
    <row r="874" spans="2:9" x14ac:dyDescent="0.3">
      <c r="B874" s="130" t="str">
        <f ca="1">IFERROR(__xludf.DUMMYFUNCTION("""COMPUTED_VALUE"""),"круг")</f>
        <v>круг</v>
      </c>
      <c r="C874" s="125" t="str">
        <f ca="1">IFERROR(__xludf.DUMMYFUNCTION("""COMPUTED_VALUE"""),"38хм (ков)")</f>
        <v>38хм (ков)</v>
      </c>
      <c r="D874" s="131">
        <f ca="1">IFERROR(__xludf.DUMMYFUNCTION("""COMPUTED_VALUE"""),450)</f>
        <v>450</v>
      </c>
      <c r="E874" s="131"/>
      <c r="F874" s="132"/>
      <c r="G874" s="133">
        <f ca="1">IFERROR(__xludf.DUMMYFUNCTION("""COMPUTED_VALUE"""),0.814)</f>
        <v>0.81399999999999995</v>
      </c>
      <c r="H874" s="133"/>
      <c r="I874" s="134">
        <f ca="1">IFERROR(__xludf.DUMMYFUNCTION("""COMPUTED_VALUE"""),240000)</f>
        <v>240000</v>
      </c>
    </row>
    <row r="875" spans="2:9" x14ac:dyDescent="0.3">
      <c r="B875" s="130" t="str">
        <f ca="1">IFERROR(__xludf.DUMMYFUNCTION("""COMPUTED_VALUE"""),"круг")</f>
        <v>круг</v>
      </c>
      <c r="C875" s="125" t="str">
        <f ca="1">IFERROR(__xludf.DUMMYFUNCTION("""COMPUTED_VALUE"""),"38хм (ков)")</f>
        <v>38хм (ков)</v>
      </c>
      <c r="D875" s="131">
        <f ca="1">IFERROR(__xludf.DUMMYFUNCTION("""COMPUTED_VALUE"""),450)</f>
        <v>450</v>
      </c>
      <c r="E875" s="131"/>
      <c r="F875" s="132"/>
      <c r="G875" s="133">
        <f ca="1">IFERROR(__xludf.DUMMYFUNCTION("""COMPUTED_VALUE"""),5.69)</f>
        <v>5.69</v>
      </c>
      <c r="H875" s="133"/>
      <c r="I875" s="134">
        <f ca="1">IFERROR(__xludf.DUMMYFUNCTION("""COMPUTED_VALUE"""),240000)</f>
        <v>240000</v>
      </c>
    </row>
    <row r="876" spans="2:9" x14ac:dyDescent="0.3">
      <c r="B876" s="130" t="str">
        <f ca="1">IFERROR(__xludf.DUMMYFUNCTION("""COMPUTED_VALUE"""),"круг")</f>
        <v>круг</v>
      </c>
      <c r="C876" s="125" t="str">
        <f ca="1">IFERROR(__xludf.DUMMYFUNCTION("""COMPUTED_VALUE"""),"38хм (ков)")</f>
        <v>38хм (ков)</v>
      </c>
      <c r="D876" s="131">
        <f ca="1">IFERROR(__xludf.DUMMYFUNCTION("""COMPUTED_VALUE"""),480)</f>
        <v>480</v>
      </c>
      <c r="E876" s="131"/>
      <c r="F876" s="132" t="str">
        <f ca="1">IFERROR(__xludf.DUMMYFUNCTION("""COMPUTED_VALUE""")," УЗК, НМВ")</f>
        <v xml:space="preserve"> УЗК, НМВ</v>
      </c>
      <c r="G876" s="133">
        <f ca="1">IFERROR(__xludf.DUMMYFUNCTION("""COMPUTED_VALUE"""),1.853)</f>
        <v>1.853</v>
      </c>
      <c r="H876" s="133"/>
      <c r="I876" s="134">
        <f ca="1">IFERROR(__xludf.DUMMYFUNCTION("""COMPUTED_VALUE"""),240000)</f>
        <v>240000</v>
      </c>
    </row>
    <row r="877" spans="2:9" x14ac:dyDescent="0.3">
      <c r="B877" s="130" t="str">
        <f ca="1">IFERROR(__xludf.DUMMYFUNCTION("""COMPUTED_VALUE"""),"круг")</f>
        <v>круг</v>
      </c>
      <c r="C877" s="125" t="str">
        <f ca="1">IFERROR(__xludf.DUMMYFUNCTION("""COMPUTED_VALUE"""),"38хм (ков)")</f>
        <v>38хм (ков)</v>
      </c>
      <c r="D877" s="131">
        <f ca="1">IFERROR(__xludf.DUMMYFUNCTION("""COMPUTED_VALUE"""),480)</f>
        <v>480</v>
      </c>
      <c r="E877" s="131"/>
      <c r="F877" s="132" t="str">
        <f ca="1">IFERROR(__xludf.DUMMYFUNCTION("""COMPUTED_VALUE""")," УЗК, НМВ")</f>
        <v xml:space="preserve"> УЗК, НМВ</v>
      </c>
      <c r="G877" s="133">
        <f ca="1">IFERROR(__xludf.DUMMYFUNCTION("""COMPUTED_VALUE"""),0.4)</f>
        <v>0.4</v>
      </c>
      <c r="H877" s="133"/>
      <c r="I877" s="134">
        <f ca="1">IFERROR(__xludf.DUMMYFUNCTION("""COMPUTED_VALUE"""),240000)</f>
        <v>240000</v>
      </c>
    </row>
    <row r="878" spans="2:9" x14ac:dyDescent="0.3">
      <c r="B878" s="130" t="str">
        <f ca="1">IFERROR(__xludf.DUMMYFUNCTION("""COMPUTED_VALUE"""),"круг")</f>
        <v>круг</v>
      </c>
      <c r="C878" s="125" t="str">
        <f ca="1">IFERROR(__xludf.DUMMYFUNCTION("""COMPUTED_VALUE"""),"38хм (ков)")</f>
        <v>38хм (ков)</v>
      </c>
      <c r="D878" s="131">
        <f ca="1">IFERROR(__xludf.DUMMYFUNCTION("""COMPUTED_VALUE"""),480)</f>
        <v>480</v>
      </c>
      <c r="E878" s="131"/>
      <c r="F878" s="132"/>
      <c r="G878" s="133">
        <f ca="1">IFERROR(__xludf.DUMMYFUNCTION("""COMPUTED_VALUE"""),5.46)</f>
        <v>5.46</v>
      </c>
      <c r="H878" s="133"/>
      <c r="I878" s="134">
        <f ca="1">IFERROR(__xludf.DUMMYFUNCTION("""COMPUTED_VALUE"""),240000)</f>
        <v>240000</v>
      </c>
    </row>
    <row r="879" spans="2:9" x14ac:dyDescent="0.3">
      <c r="B879" s="130" t="str">
        <f ca="1">IFERROR(__xludf.DUMMYFUNCTION("""COMPUTED_VALUE"""),"круг")</f>
        <v>круг</v>
      </c>
      <c r="C879" s="125" t="str">
        <f ca="1">IFERROR(__xludf.DUMMYFUNCTION("""COMPUTED_VALUE"""),"38хм (ков)")</f>
        <v>38хм (ков)</v>
      </c>
      <c r="D879" s="131">
        <f ca="1">IFERROR(__xludf.DUMMYFUNCTION("""COMPUTED_VALUE"""),500)</f>
        <v>500</v>
      </c>
      <c r="E879" s="131"/>
      <c r="F879" s="132" t="str">
        <f ca="1">IFERROR(__xludf.DUMMYFUNCTION("""COMPUTED_VALUE""")," УЗК, НМВ")</f>
        <v xml:space="preserve"> УЗК, НМВ</v>
      </c>
      <c r="G879" s="133">
        <f ca="1">IFERROR(__xludf.DUMMYFUNCTION("""COMPUTED_VALUE"""),1.55)</f>
        <v>1.55</v>
      </c>
      <c r="H879" s="133"/>
      <c r="I879" s="134">
        <f ca="1">IFERROR(__xludf.DUMMYFUNCTION("""COMPUTED_VALUE"""),240000)</f>
        <v>240000</v>
      </c>
    </row>
    <row r="880" spans="2:9" x14ac:dyDescent="0.3">
      <c r="B880" s="130" t="str">
        <f ca="1">IFERROR(__xludf.DUMMYFUNCTION("""COMPUTED_VALUE"""),"круг")</f>
        <v>круг</v>
      </c>
      <c r="C880" s="125" t="str">
        <f ca="1">IFERROR(__xludf.DUMMYFUNCTION("""COMPUTED_VALUE"""),"38хм (ков)")</f>
        <v>38хм (ков)</v>
      </c>
      <c r="D880" s="131">
        <f ca="1">IFERROR(__xludf.DUMMYFUNCTION("""COMPUTED_VALUE"""),500)</f>
        <v>500</v>
      </c>
      <c r="E880" s="131"/>
      <c r="F880" s="132" t="str">
        <f ca="1">IFERROR(__xludf.DUMMYFUNCTION("""COMPUTED_VALUE"""),"ТУ14-1-1530-75;  ОБТ;  ГОСТ 4543-16;  100% УЗК ")</f>
        <v xml:space="preserve">ТУ14-1-1530-75;  ОБТ;  ГОСТ 4543-16;  100% УЗК </v>
      </c>
      <c r="G880" s="133">
        <f ca="1">IFERROR(__xludf.DUMMYFUNCTION("""COMPUTED_VALUE"""),0.483)</f>
        <v>0.48299999999999998</v>
      </c>
      <c r="H880" s="133"/>
      <c r="I880" s="134">
        <f ca="1">IFERROR(__xludf.DUMMYFUNCTION("""COMPUTED_VALUE"""),240000)</f>
        <v>240000</v>
      </c>
    </row>
    <row r="881" spans="2:9" x14ac:dyDescent="0.3">
      <c r="B881" s="130" t="str">
        <f ca="1">IFERROR(__xludf.DUMMYFUNCTION("""COMPUTED_VALUE"""),"круг")</f>
        <v>круг</v>
      </c>
      <c r="C881" s="125" t="str">
        <f ca="1">IFERROR(__xludf.DUMMYFUNCTION("""COMPUTED_VALUE"""),"38хм (ков)")</f>
        <v>38хм (ков)</v>
      </c>
      <c r="D881" s="131">
        <f ca="1">IFERROR(__xludf.DUMMYFUNCTION("""COMPUTED_VALUE"""),500)</f>
        <v>500</v>
      </c>
      <c r="E881" s="131"/>
      <c r="F881" s="132"/>
      <c r="G881" s="133">
        <f ca="1">IFERROR(__xludf.DUMMYFUNCTION("""COMPUTED_VALUE"""),4.843)</f>
        <v>4.843</v>
      </c>
      <c r="H881" s="133"/>
      <c r="I881" s="134">
        <f ca="1">IFERROR(__xludf.DUMMYFUNCTION("""COMPUTED_VALUE"""),240000)</f>
        <v>240000</v>
      </c>
    </row>
    <row r="882" spans="2:9" x14ac:dyDescent="0.3">
      <c r="B882" s="130" t="str">
        <f ca="1">IFERROR(__xludf.DUMMYFUNCTION("""COMPUTED_VALUE"""),"круг")</f>
        <v>круг</v>
      </c>
      <c r="C882" s="125" t="str">
        <f ca="1">IFERROR(__xludf.DUMMYFUNCTION("""COMPUTED_VALUE"""),"38хм (ков)")</f>
        <v>38хм (ков)</v>
      </c>
      <c r="D882" s="131">
        <f ca="1">IFERROR(__xludf.DUMMYFUNCTION("""COMPUTED_VALUE"""),520)</f>
        <v>520</v>
      </c>
      <c r="E882" s="131"/>
      <c r="F882" s="132" t="str">
        <f ca="1">IFERROR(__xludf.DUMMYFUNCTION("""COMPUTED_VALUE""")," УЗК, НМВ")</f>
        <v xml:space="preserve"> УЗК, НМВ</v>
      </c>
      <c r="G882" s="133">
        <f ca="1">IFERROR(__xludf.DUMMYFUNCTION("""COMPUTED_VALUE"""),0.829999999999999)</f>
        <v>0.82999999999999896</v>
      </c>
      <c r="H882" s="133"/>
      <c r="I882" s="134">
        <f ca="1">IFERROR(__xludf.DUMMYFUNCTION("""COMPUTED_VALUE"""),240000)</f>
        <v>240000</v>
      </c>
    </row>
    <row r="883" spans="2:9" x14ac:dyDescent="0.3">
      <c r="B883" s="130" t="str">
        <f ca="1">IFERROR(__xludf.DUMMYFUNCTION("""COMPUTED_VALUE"""),"круг")</f>
        <v>круг</v>
      </c>
      <c r="C883" s="125" t="str">
        <f ca="1">IFERROR(__xludf.DUMMYFUNCTION("""COMPUTED_VALUE"""),"38хм (ков)")</f>
        <v>38хм (ков)</v>
      </c>
      <c r="D883" s="131">
        <f ca="1">IFERROR(__xludf.DUMMYFUNCTION("""COMPUTED_VALUE"""),550)</f>
        <v>550</v>
      </c>
      <c r="E883" s="131"/>
      <c r="F883" s="132" t="str">
        <f ca="1">IFERROR(__xludf.DUMMYFUNCTION("""COMPUTED_VALUE""")," УЗК, НМВ")</f>
        <v xml:space="preserve"> УЗК, НМВ</v>
      </c>
      <c r="G883" s="133">
        <f ca="1">IFERROR(__xludf.DUMMYFUNCTION("""COMPUTED_VALUE"""),0.256999999999999)</f>
        <v>0.25699999999999901</v>
      </c>
      <c r="H883" s="133"/>
      <c r="I883" s="134">
        <f ca="1">IFERROR(__xludf.DUMMYFUNCTION("""COMPUTED_VALUE"""),210000)</f>
        <v>210000</v>
      </c>
    </row>
    <row r="884" spans="2:9" x14ac:dyDescent="0.3">
      <c r="B884" s="130" t="str">
        <f ca="1">IFERROR(__xludf.DUMMYFUNCTION("""COMPUTED_VALUE"""),"круг")</f>
        <v>круг</v>
      </c>
      <c r="C884" s="125" t="str">
        <f ca="1">IFERROR(__xludf.DUMMYFUNCTION("""COMPUTED_VALUE"""),"38хм (ков)")</f>
        <v>38хм (ков)</v>
      </c>
      <c r="D884" s="131">
        <f ca="1">IFERROR(__xludf.DUMMYFUNCTION("""COMPUTED_VALUE"""),550)</f>
        <v>550</v>
      </c>
      <c r="E884" s="131"/>
      <c r="F884" s="132"/>
      <c r="G884" s="133">
        <f ca="1">IFERROR(__xludf.DUMMYFUNCTION("""COMPUTED_VALUE"""),5.114)</f>
        <v>5.1139999999999999</v>
      </c>
      <c r="H884" s="133"/>
      <c r="I884" s="134">
        <f ca="1">IFERROR(__xludf.DUMMYFUNCTION("""COMPUTED_VALUE"""),240000)</f>
        <v>240000</v>
      </c>
    </row>
    <row r="885" spans="2:9" x14ac:dyDescent="0.3">
      <c r="B885" s="130" t="str">
        <f ca="1">IFERROR(__xludf.DUMMYFUNCTION("""COMPUTED_VALUE"""),"круг")</f>
        <v>круг</v>
      </c>
      <c r="C885" s="125" t="str">
        <f ca="1">IFERROR(__xludf.DUMMYFUNCTION("""COMPUTED_VALUE"""),"38хм (ков)")</f>
        <v>38хм (ков)</v>
      </c>
      <c r="D885" s="131">
        <f ca="1">IFERROR(__xludf.DUMMYFUNCTION("""COMPUTED_VALUE"""),600)</f>
        <v>600</v>
      </c>
      <c r="E885" s="131"/>
      <c r="F885" s="132"/>
      <c r="G885" s="133">
        <f ca="1">IFERROR(__xludf.DUMMYFUNCTION("""COMPUTED_VALUE"""),3.675)</f>
        <v>3.6749999999999998</v>
      </c>
      <c r="H885" s="133"/>
      <c r="I885" s="134">
        <f ca="1">IFERROR(__xludf.DUMMYFUNCTION("""COMPUTED_VALUE"""),240000)</f>
        <v>240000</v>
      </c>
    </row>
    <row r="886" spans="2:9" x14ac:dyDescent="0.3">
      <c r="B886" s="130" t="str">
        <f ca="1">IFERROR(__xludf.DUMMYFUNCTION("""COMPUTED_VALUE"""),"круг")</f>
        <v>круг</v>
      </c>
      <c r="C886" s="125" t="str">
        <f ca="1">IFERROR(__xludf.DUMMYFUNCTION("""COMPUTED_VALUE"""),"38хм (ков)")</f>
        <v>38хм (ков)</v>
      </c>
      <c r="D886" s="131">
        <f ca="1">IFERROR(__xludf.DUMMYFUNCTION("""COMPUTED_VALUE"""),650)</f>
        <v>650</v>
      </c>
      <c r="E886" s="131"/>
      <c r="F886" s="132"/>
      <c r="G886" s="133">
        <f ca="1">IFERROR(__xludf.DUMMYFUNCTION("""COMPUTED_VALUE"""),4.217)</f>
        <v>4.2169999999999996</v>
      </c>
      <c r="H886" s="133"/>
      <c r="I886" s="134">
        <f ca="1">IFERROR(__xludf.DUMMYFUNCTION("""COMPUTED_VALUE"""),240000)</f>
        <v>240000</v>
      </c>
    </row>
    <row r="887" spans="2:9" x14ac:dyDescent="0.3">
      <c r="B887" s="130" t="str">
        <f ca="1">IFERROR(__xludf.DUMMYFUNCTION("""COMPUTED_VALUE"""),"круг")</f>
        <v>круг</v>
      </c>
      <c r="C887" s="125" t="str">
        <f ca="1">IFERROR(__xludf.DUMMYFUNCTION("""COMPUTED_VALUE"""),"38хм (ков)")</f>
        <v>38хм (ков)</v>
      </c>
      <c r="D887" s="131">
        <f ca="1">IFERROR(__xludf.DUMMYFUNCTION("""COMPUTED_VALUE"""),680)</f>
        <v>680</v>
      </c>
      <c r="E887" s="131"/>
      <c r="F887" s="132"/>
      <c r="G887" s="133">
        <f ca="1">IFERROR(__xludf.DUMMYFUNCTION("""COMPUTED_VALUE"""),0.064)</f>
        <v>6.4000000000000001E-2</v>
      </c>
      <c r="H887" s="133"/>
      <c r="I887" s="134">
        <f ca="1">IFERROR(__xludf.DUMMYFUNCTION("""COMPUTED_VALUE"""),240000)</f>
        <v>240000</v>
      </c>
    </row>
    <row r="888" spans="2:9" x14ac:dyDescent="0.3">
      <c r="B888" s="130" t="str">
        <f ca="1">IFERROR(__xludf.DUMMYFUNCTION("""COMPUTED_VALUE"""),"круг")</f>
        <v>круг</v>
      </c>
      <c r="C888" s="125" t="str">
        <f ca="1">IFERROR(__xludf.DUMMYFUNCTION("""COMPUTED_VALUE"""),"38хм (ков)")</f>
        <v>38хм (ков)</v>
      </c>
      <c r="D888" s="131">
        <f ca="1">IFERROR(__xludf.DUMMYFUNCTION("""COMPUTED_VALUE"""),700)</f>
        <v>700</v>
      </c>
      <c r="E888" s="131"/>
      <c r="F888" s="132"/>
      <c r="G888" s="133">
        <f ca="1">IFERROR(__xludf.DUMMYFUNCTION("""COMPUTED_VALUE"""),1.641)</f>
        <v>1.641</v>
      </c>
      <c r="H888" s="133"/>
      <c r="I888" s="134">
        <f ca="1">IFERROR(__xludf.DUMMYFUNCTION("""COMPUTED_VALUE"""),240000)</f>
        <v>240000</v>
      </c>
    </row>
    <row r="889" spans="2:9" x14ac:dyDescent="0.3">
      <c r="B889" s="130" t="str">
        <f ca="1">IFERROR(__xludf.DUMMYFUNCTION("""COMPUTED_VALUE"""),"круг")</f>
        <v>круг</v>
      </c>
      <c r="C889" s="125" t="str">
        <f ca="1">IFERROR(__xludf.DUMMYFUNCTION("""COMPUTED_VALUE"""),"38хм (ков)")</f>
        <v>38хм (ков)</v>
      </c>
      <c r="D889" s="131">
        <f ca="1">IFERROR(__xludf.DUMMYFUNCTION("""COMPUTED_VALUE"""),700)</f>
        <v>700</v>
      </c>
      <c r="E889" s="131"/>
      <c r="F889" s="132"/>
      <c r="G889" s="133">
        <f ca="1">IFERROR(__xludf.DUMMYFUNCTION("""COMPUTED_VALUE"""),6.69)</f>
        <v>6.69</v>
      </c>
      <c r="H889" s="133"/>
      <c r="I889" s="134">
        <f ca="1">IFERROR(__xludf.DUMMYFUNCTION("""COMPUTED_VALUE"""),240000)</f>
        <v>240000</v>
      </c>
    </row>
    <row r="890" spans="2:9" x14ac:dyDescent="0.3">
      <c r="B890" s="130" t="str">
        <f ca="1">IFERROR(__xludf.DUMMYFUNCTION("""COMPUTED_VALUE"""),"круг")</f>
        <v>круг</v>
      </c>
      <c r="C890" s="125" t="str">
        <f ca="1">IFERROR(__xludf.DUMMYFUNCTION("""COMPUTED_VALUE"""),"38хм (ков)")</f>
        <v>38хм (ков)</v>
      </c>
      <c r="D890" s="131">
        <f ca="1">IFERROR(__xludf.DUMMYFUNCTION("""COMPUTED_VALUE"""),750)</f>
        <v>750</v>
      </c>
      <c r="E890" s="131"/>
      <c r="F890" s="132"/>
      <c r="G890" s="133">
        <f ca="1">IFERROR(__xludf.DUMMYFUNCTION("""COMPUTED_VALUE"""),4.53799999999999)</f>
        <v>4.5379999999999896</v>
      </c>
      <c r="H890" s="133"/>
      <c r="I890" s="134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2026-07-09T15:34:09Z</dcterms:modified>
</cp:coreProperties>
</file>