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Grigorii\Desktop\"/>
    </mc:Choice>
  </mc:AlternateContent>
  <xr:revisionPtr revIDLastSave="0" documentId="8_{F39677E1-D1A4-4605-A50F-9D407CBE199E}" xr6:coauthVersionLast="47" xr6:coauthVersionMax="47" xr10:uidLastSave="{00000000-0000-0000-0000-000000000000}"/>
  <bookViews>
    <workbookView xWindow="5475" yWindow="1455" windowWidth="19455" windowHeight="12945" tabRatio="771" xr2:uid="{00000000-000D-0000-FFFF-FFFF00000000}"/>
  </bookViews>
  <sheets>
    <sheet name="СКЛАД 1" sheetId="4" r:id="rId1"/>
    <sheet name="СКЛАД 2" sheetId="16" r:id="rId2"/>
  </sheets>
  <definedNames>
    <definedName name="_xlnm._FilterDatabase" localSheetId="0" hidden="1">'СКЛАД 1'!$B$3:$BP$615</definedName>
    <definedName name="_xlnm._FilterDatabase" localSheetId="1" hidden="1">'СКЛАД 2'!$B$3:$I$936</definedName>
    <definedName name="_xlnm.Print_Area" localSheetId="0">'СКЛАД 1'!$B$2:$K$515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36" i="16" l="1"/>
  <c r="G936" i="16"/>
  <c r="D936" i="16"/>
  <c r="C936" i="16"/>
  <c r="B936" i="16"/>
  <c r="I935" i="16"/>
  <c r="G935" i="16"/>
  <c r="D935" i="16"/>
  <c r="C935" i="16"/>
  <c r="B935" i="16"/>
  <c r="I934" i="16"/>
  <c r="G934" i="16"/>
  <c r="D934" i="16"/>
  <c r="C934" i="16"/>
  <c r="B934" i="16"/>
  <c r="I933" i="16"/>
  <c r="G933" i="16"/>
  <c r="D933" i="16"/>
  <c r="C933" i="16"/>
  <c r="B933" i="16"/>
  <c r="I932" i="16"/>
  <c r="G932" i="16"/>
  <c r="D932" i="16"/>
  <c r="C932" i="16"/>
  <c r="B932" i="16"/>
  <c r="I931" i="16"/>
  <c r="G931" i="16"/>
  <c r="D931" i="16"/>
  <c r="C931" i="16"/>
  <c r="B931" i="16"/>
  <c r="I930" i="16"/>
  <c r="G930" i="16"/>
  <c r="D930" i="16"/>
  <c r="C930" i="16"/>
  <c r="B930" i="16"/>
  <c r="I929" i="16"/>
  <c r="G929" i="16"/>
  <c r="F929" i="16"/>
  <c r="D929" i="16"/>
  <c r="C929" i="16"/>
  <c r="B929" i="16"/>
  <c r="I928" i="16"/>
  <c r="G928" i="16"/>
  <c r="F928" i="16"/>
  <c r="D928" i="16"/>
  <c r="C928" i="16"/>
  <c r="B928" i="16"/>
  <c r="I927" i="16"/>
  <c r="G927" i="16"/>
  <c r="D927" i="16"/>
  <c r="C927" i="16"/>
  <c r="B927" i="16"/>
  <c r="I926" i="16"/>
  <c r="G926" i="16"/>
  <c r="F926" i="16"/>
  <c r="D926" i="16"/>
  <c r="C926" i="16"/>
  <c r="B926" i="16"/>
  <c r="I925" i="16"/>
  <c r="G925" i="16"/>
  <c r="F925" i="16"/>
  <c r="D925" i="16"/>
  <c r="C925" i="16"/>
  <c r="B925" i="16"/>
  <c r="I924" i="16"/>
  <c r="G924" i="16"/>
  <c r="D924" i="16"/>
  <c r="C924" i="16"/>
  <c r="B924" i="16"/>
  <c r="I923" i="16"/>
  <c r="G923" i="16"/>
  <c r="F923" i="16"/>
  <c r="D923" i="16"/>
  <c r="C923" i="16"/>
  <c r="B923" i="16"/>
  <c r="I922" i="16"/>
  <c r="G922" i="16"/>
  <c r="F922" i="16"/>
  <c r="D922" i="16"/>
  <c r="C922" i="16"/>
  <c r="B922" i="16"/>
  <c r="I921" i="16"/>
  <c r="G921" i="16"/>
  <c r="D921" i="16"/>
  <c r="C921" i="16"/>
  <c r="B921" i="16"/>
  <c r="I920" i="16"/>
  <c r="G920" i="16"/>
  <c r="F920" i="16"/>
  <c r="D920" i="16"/>
  <c r="C920" i="16"/>
  <c r="B920" i="16"/>
  <c r="I919" i="16"/>
  <c r="G919" i="16"/>
  <c r="F919" i="16"/>
  <c r="D919" i="16"/>
  <c r="C919" i="16"/>
  <c r="B919" i="16"/>
  <c r="I918" i="16"/>
  <c r="G918" i="16"/>
  <c r="F918" i="16"/>
  <c r="D918" i="16"/>
  <c r="C918" i="16"/>
  <c r="B918" i="16"/>
  <c r="I917" i="16"/>
  <c r="G917" i="16"/>
  <c r="F917" i="16"/>
  <c r="D917" i="16"/>
  <c r="C917" i="16"/>
  <c r="B917" i="16"/>
  <c r="I916" i="16"/>
  <c r="G916" i="16"/>
  <c r="F916" i="16"/>
  <c r="D916" i="16"/>
  <c r="C916" i="16"/>
  <c r="B916" i="16"/>
  <c r="I915" i="16"/>
  <c r="G915" i="16"/>
  <c r="F915" i="16"/>
  <c r="D915" i="16"/>
  <c r="C915" i="16"/>
  <c r="B915" i="16"/>
  <c r="I914" i="16"/>
  <c r="G914" i="16"/>
  <c r="F914" i="16"/>
  <c r="D914" i="16"/>
  <c r="C914" i="16"/>
  <c r="B914" i="16"/>
  <c r="I913" i="16"/>
  <c r="G913" i="16"/>
  <c r="F913" i="16"/>
  <c r="D913" i="16"/>
  <c r="C913" i="16"/>
  <c r="B913" i="16"/>
  <c r="I912" i="16"/>
  <c r="G912" i="16"/>
  <c r="D912" i="16"/>
  <c r="C912" i="16"/>
  <c r="B912" i="16"/>
  <c r="I911" i="16"/>
  <c r="G911" i="16"/>
  <c r="F911" i="16"/>
  <c r="D911" i="16"/>
  <c r="C911" i="16"/>
  <c r="B911" i="16"/>
  <c r="I910" i="16"/>
  <c r="G910" i="16"/>
  <c r="F910" i="16"/>
  <c r="D910" i="16"/>
  <c r="C910" i="16"/>
  <c r="B910" i="16"/>
  <c r="I909" i="16"/>
  <c r="G909" i="16"/>
  <c r="F909" i="16"/>
  <c r="D909" i="16"/>
  <c r="C909" i="16"/>
  <c r="B909" i="16"/>
  <c r="I908" i="16"/>
  <c r="G908" i="16"/>
  <c r="F908" i="16"/>
  <c r="D908" i="16"/>
  <c r="C908" i="16"/>
  <c r="B908" i="16"/>
  <c r="I907" i="16"/>
  <c r="G907" i="16"/>
  <c r="F907" i="16"/>
  <c r="D907" i="16"/>
  <c r="C907" i="16"/>
  <c r="B907" i="16"/>
  <c r="I906" i="16"/>
  <c r="G906" i="16"/>
  <c r="D906" i="16"/>
  <c r="C906" i="16"/>
  <c r="B906" i="16"/>
  <c r="I905" i="16"/>
  <c r="G905" i="16"/>
  <c r="D905" i="16"/>
  <c r="C905" i="16"/>
  <c r="B905" i="16"/>
  <c r="I904" i="16"/>
  <c r="G904" i="16"/>
  <c r="F904" i="16"/>
  <c r="D904" i="16"/>
  <c r="C904" i="16"/>
  <c r="B904" i="16"/>
  <c r="I903" i="16"/>
  <c r="G903" i="16"/>
  <c r="F903" i="16"/>
  <c r="D903" i="16"/>
  <c r="C903" i="16"/>
  <c r="B903" i="16"/>
  <c r="I902" i="16"/>
  <c r="G902" i="16"/>
  <c r="F902" i="16"/>
  <c r="D902" i="16"/>
  <c r="C902" i="16"/>
  <c r="B902" i="16"/>
  <c r="I901" i="16"/>
  <c r="G901" i="16"/>
  <c r="F901" i="16"/>
  <c r="D901" i="16"/>
  <c r="C901" i="16"/>
  <c r="B901" i="16"/>
  <c r="I900" i="16"/>
  <c r="G900" i="16"/>
  <c r="F900" i="16"/>
  <c r="D900" i="16"/>
  <c r="C900" i="16"/>
  <c r="B900" i="16"/>
  <c r="I899" i="16"/>
  <c r="G899" i="16"/>
  <c r="F899" i="16"/>
  <c r="D899" i="16"/>
  <c r="C899" i="16"/>
  <c r="B899" i="16"/>
  <c r="I898" i="16"/>
  <c r="G898" i="16"/>
  <c r="F898" i="16"/>
  <c r="D898" i="16"/>
  <c r="C898" i="16"/>
  <c r="B898" i="16"/>
  <c r="I897" i="16"/>
  <c r="G897" i="16"/>
  <c r="F897" i="16"/>
  <c r="D897" i="16"/>
  <c r="C897" i="16"/>
  <c r="B897" i="16"/>
  <c r="I896" i="16"/>
  <c r="G896" i="16"/>
  <c r="F896" i="16"/>
  <c r="D896" i="16"/>
  <c r="C896" i="16"/>
  <c r="B896" i="16"/>
  <c r="I895" i="16"/>
  <c r="G895" i="16"/>
  <c r="F895" i="16"/>
  <c r="D895" i="16"/>
  <c r="C895" i="16"/>
  <c r="B895" i="16"/>
  <c r="I894" i="16"/>
  <c r="G894" i="16"/>
  <c r="F894" i="16"/>
  <c r="D894" i="16"/>
  <c r="C894" i="16"/>
  <c r="B894" i="16"/>
  <c r="I893" i="16"/>
  <c r="G893" i="16"/>
  <c r="F893" i="16"/>
  <c r="D893" i="16"/>
  <c r="C893" i="16"/>
  <c r="B893" i="16"/>
  <c r="I892" i="16"/>
  <c r="G892" i="16"/>
  <c r="F892" i="16"/>
  <c r="D892" i="16"/>
  <c r="C892" i="16"/>
  <c r="B892" i="16"/>
  <c r="I891" i="16"/>
  <c r="G891" i="16"/>
  <c r="F891" i="16"/>
  <c r="D891" i="16"/>
  <c r="C891" i="16"/>
  <c r="B891" i="16"/>
  <c r="I890" i="16"/>
  <c r="G890" i="16"/>
  <c r="F890" i="16"/>
  <c r="D890" i="16"/>
  <c r="C890" i="16"/>
  <c r="B890" i="16"/>
  <c r="I889" i="16"/>
  <c r="G889" i="16"/>
  <c r="F889" i="16"/>
  <c r="D889" i="16"/>
  <c r="C889" i="16"/>
  <c r="B889" i="16"/>
  <c r="I888" i="16"/>
  <c r="G888" i="16"/>
  <c r="F888" i="16"/>
  <c r="D888" i="16"/>
  <c r="C888" i="16"/>
  <c r="B888" i="16"/>
  <c r="I887" i="16"/>
  <c r="G887" i="16"/>
  <c r="F887" i="16"/>
  <c r="D887" i="16"/>
  <c r="C887" i="16"/>
  <c r="B887" i="16"/>
  <c r="I886" i="16"/>
  <c r="G886" i="16"/>
  <c r="F886" i="16"/>
  <c r="D886" i="16"/>
  <c r="C886" i="16"/>
  <c r="B886" i="16"/>
  <c r="I885" i="16"/>
  <c r="G885" i="16"/>
  <c r="F885" i="16"/>
  <c r="D885" i="16"/>
  <c r="C885" i="16"/>
  <c r="B885" i="16"/>
  <c r="I884" i="16"/>
  <c r="G884" i="16"/>
  <c r="F884" i="16"/>
  <c r="D884" i="16"/>
  <c r="C884" i="16"/>
  <c r="B884" i="16"/>
  <c r="I883" i="16"/>
  <c r="G883" i="16"/>
  <c r="F883" i="16"/>
  <c r="D883" i="16"/>
  <c r="C883" i="16"/>
  <c r="B883" i="16"/>
  <c r="I882" i="16"/>
  <c r="G882" i="16"/>
  <c r="F882" i="16"/>
  <c r="D882" i="16"/>
  <c r="C882" i="16"/>
  <c r="B882" i="16"/>
  <c r="I881" i="16"/>
  <c r="G881" i="16"/>
  <c r="F881" i="16"/>
  <c r="D881" i="16"/>
  <c r="C881" i="16"/>
  <c r="B881" i="16"/>
  <c r="I880" i="16"/>
  <c r="G880" i="16"/>
  <c r="D880" i="16"/>
  <c r="C880" i="16"/>
  <c r="B880" i="16"/>
  <c r="I879" i="16"/>
  <c r="G879" i="16"/>
  <c r="F879" i="16"/>
  <c r="D879" i="16"/>
  <c r="C879" i="16"/>
  <c r="B879" i="16"/>
  <c r="I878" i="16"/>
  <c r="G878" i="16"/>
  <c r="F878" i="16"/>
  <c r="D878" i="16"/>
  <c r="C878" i="16"/>
  <c r="B878" i="16"/>
  <c r="I877" i="16"/>
  <c r="G877" i="16"/>
  <c r="F877" i="16"/>
  <c r="D877" i="16"/>
  <c r="C877" i="16"/>
  <c r="B877" i="16"/>
  <c r="I876" i="16"/>
  <c r="G876" i="16"/>
  <c r="F876" i="16"/>
  <c r="D876" i="16"/>
  <c r="C876" i="16"/>
  <c r="B876" i="16"/>
  <c r="I875" i="16"/>
  <c r="G875" i="16"/>
  <c r="F875" i="16"/>
  <c r="D875" i="16"/>
  <c r="C875" i="16"/>
  <c r="B875" i="16"/>
  <c r="I874" i="16"/>
  <c r="G874" i="16"/>
  <c r="F874" i="16"/>
  <c r="D874" i="16"/>
  <c r="C874" i="16"/>
  <c r="B874" i="16"/>
  <c r="I873" i="16"/>
  <c r="G873" i="16"/>
  <c r="F873" i="16"/>
  <c r="D873" i="16"/>
  <c r="C873" i="16"/>
  <c r="B873" i="16"/>
  <c r="I872" i="16"/>
  <c r="G872" i="16"/>
  <c r="F872" i="16"/>
  <c r="D872" i="16"/>
  <c r="C872" i="16"/>
  <c r="B872" i="16"/>
  <c r="I871" i="16"/>
  <c r="G871" i="16"/>
  <c r="F871" i="16"/>
  <c r="D871" i="16"/>
  <c r="C871" i="16"/>
  <c r="B871" i="16"/>
  <c r="I870" i="16"/>
  <c r="G870" i="16"/>
  <c r="F870" i="16"/>
  <c r="D870" i="16"/>
  <c r="C870" i="16"/>
  <c r="B870" i="16"/>
  <c r="I869" i="16"/>
  <c r="G869" i="16"/>
  <c r="F869" i="16"/>
  <c r="D869" i="16"/>
  <c r="C869" i="16"/>
  <c r="B869" i="16"/>
  <c r="I868" i="16"/>
  <c r="G868" i="16"/>
  <c r="F868" i="16"/>
  <c r="D868" i="16"/>
  <c r="C868" i="16"/>
  <c r="B868" i="16"/>
  <c r="I867" i="16"/>
  <c r="G867" i="16"/>
  <c r="F867" i="16"/>
  <c r="D867" i="16"/>
  <c r="C867" i="16"/>
  <c r="B867" i="16"/>
  <c r="I866" i="16"/>
  <c r="G866" i="16"/>
  <c r="F866" i="16"/>
  <c r="D866" i="16"/>
  <c r="C866" i="16"/>
  <c r="B866" i="16"/>
  <c r="I865" i="16"/>
  <c r="G865" i="16"/>
  <c r="F865" i="16"/>
  <c r="D865" i="16"/>
  <c r="C865" i="16"/>
  <c r="B865" i="16"/>
  <c r="I864" i="16"/>
  <c r="G864" i="16"/>
  <c r="F864" i="16"/>
  <c r="D864" i="16"/>
  <c r="C864" i="16"/>
  <c r="B864" i="16"/>
  <c r="I863" i="16"/>
  <c r="G863" i="16"/>
  <c r="F863" i="16"/>
  <c r="D863" i="16"/>
  <c r="C863" i="16"/>
  <c r="B863" i="16"/>
  <c r="I862" i="16"/>
  <c r="G862" i="16"/>
  <c r="F862" i="16"/>
  <c r="D862" i="16"/>
  <c r="C862" i="16"/>
  <c r="B862" i="16"/>
  <c r="I861" i="16"/>
  <c r="G861" i="16"/>
  <c r="F861" i="16"/>
  <c r="D861" i="16"/>
  <c r="C861" i="16"/>
  <c r="B861" i="16"/>
  <c r="I860" i="16"/>
  <c r="G860" i="16"/>
  <c r="F860" i="16"/>
  <c r="D860" i="16"/>
  <c r="C860" i="16"/>
  <c r="B860" i="16"/>
  <c r="I859" i="16"/>
  <c r="G859" i="16"/>
  <c r="F859" i="16"/>
  <c r="D859" i="16"/>
  <c r="C859" i="16"/>
  <c r="B859" i="16"/>
  <c r="I858" i="16"/>
  <c r="G858" i="16"/>
  <c r="F858" i="16"/>
  <c r="D858" i="16"/>
  <c r="C858" i="16"/>
  <c r="B858" i="16"/>
  <c r="I857" i="16"/>
  <c r="G857" i="16"/>
  <c r="F857" i="16"/>
  <c r="D857" i="16"/>
  <c r="C857" i="16"/>
  <c r="B857" i="16"/>
  <c r="I856" i="16"/>
  <c r="G856" i="16"/>
  <c r="F856" i="16"/>
  <c r="D856" i="16"/>
  <c r="C856" i="16"/>
  <c r="B856" i="16"/>
  <c r="I855" i="16"/>
  <c r="G855" i="16"/>
  <c r="F855" i="16"/>
  <c r="D855" i="16"/>
  <c r="C855" i="16"/>
  <c r="B855" i="16"/>
  <c r="I854" i="16"/>
  <c r="G854" i="16"/>
  <c r="F854" i="16"/>
  <c r="D854" i="16"/>
  <c r="C854" i="16"/>
  <c r="B854" i="16"/>
  <c r="I853" i="16"/>
  <c r="G853" i="16"/>
  <c r="F853" i="16"/>
  <c r="D853" i="16"/>
  <c r="C853" i="16"/>
  <c r="B853" i="16"/>
  <c r="I852" i="16"/>
  <c r="G852" i="16"/>
  <c r="F852" i="16"/>
  <c r="D852" i="16"/>
  <c r="C852" i="16"/>
  <c r="B852" i="16"/>
  <c r="I851" i="16"/>
  <c r="G851" i="16"/>
  <c r="F851" i="16"/>
  <c r="D851" i="16"/>
  <c r="C851" i="16"/>
  <c r="B851" i="16"/>
  <c r="I850" i="16"/>
  <c r="G850" i="16"/>
  <c r="F850" i="16"/>
  <c r="D850" i="16"/>
  <c r="C850" i="16"/>
  <c r="B850" i="16"/>
  <c r="I849" i="16"/>
  <c r="G849" i="16"/>
  <c r="D849" i="16"/>
  <c r="C849" i="16"/>
  <c r="B849" i="16"/>
  <c r="I848" i="16"/>
  <c r="G848" i="16"/>
  <c r="F848" i="16"/>
  <c r="D848" i="16"/>
  <c r="C848" i="16"/>
  <c r="B848" i="16"/>
  <c r="I847" i="16"/>
  <c r="G847" i="16"/>
  <c r="F847" i="16"/>
  <c r="D847" i="16"/>
  <c r="C847" i="16"/>
  <c r="B847" i="16"/>
  <c r="I846" i="16"/>
  <c r="G846" i="16"/>
  <c r="D846" i="16"/>
  <c r="C846" i="16"/>
  <c r="B846" i="16"/>
  <c r="I845" i="16"/>
  <c r="G845" i="16"/>
  <c r="D845" i="16"/>
  <c r="C845" i="16"/>
  <c r="B845" i="16"/>
  <c r="I844" i="16"/>
  <c r="G844" i="16"/>
  <c r="F844" i="16"/>
  <c r="D844" i="16"/>
  <c r="C844" i="16"/>
  <c r="B844" i="16"/>
  <c r="I843" i="16"/>
  <c r="G843" i="16"/>
  <c r="F843" i="16"/>
  <c r="D843" i="16"/>
  <c r="C843" i="16"/>
  <c r="B843" i="16"/>
  <c r="I842" i="16"/>
  <c r="G842" i="16"/>
  <c r="F842" i="16"/>
  <c r="D842" i="16"/>
  <c r="C842" i="16"/>
  <c r="B842" i="16"/>
  <c r="I841" i="16"/>
  <c r="G841" i="16"/>
  <c r="F841" i="16"/>
  <c r="D841" i="16"/>
  <c r="C841" i="16"/>
  <c r="B841" i="16"/>
  <c r="I840" i="16"/>
  <c r="G840" i="16"/>
  <c r="F840" i="16"/>
  <c r="D840" i="16"/>
  <c r="C840" i="16"/>
  <c r="B840" i="16"/>
  <c r="I839" i="16"/>
  <c r="G839" i="16"/>
  <c r="F839" i="16"/>
  <c r="D839" i="16"/>
  <c r="C839" i="16"/>
  <c r="B839" i="16"/>
  <c r="I838" i="16"/>
  <c r="G838" i="16"/>
  <c r="F838" i="16"/>
  <c r="D838" i="16"/>
  <c r="C838" i="16"/>
  <c r="B838" i="16"/>
  <c r="I837" i="16"/>
  <c r="G837" i="16"/>
  <c r="D837" i="16"/>
  <c r="C837" i="16"/>
  <c r="B837" i="16"/>
  <c r="I836" i="16"/>
  <c r="G836" i="16"/>
  <c r="F836" i="16"/>
  <c r="D836" i="16"/>
  <c r="C836" i="16"/>
  <c r="B836" i="16"/>
  <c r="I835" i="16"/>
  <c r="G835" i="16"/>
  <c r="F835" i="16"/>
  <c r="D835" i="16"/>
  <c r="C835" i="16"/>
  <c r="B835" i="16"/>
  <c r="I834" i="16"/>
  <c r="G834" i="16"/>
  <c r="F834" i="16"/>
  <c r="D834" i="16"/>
  <c r="C834" i="16"/>
  <c r="B834" i="16"/>
  <c r="I833" i="16"/>
  <c r="G833" i="16"/>
  <c r="F833" i="16"/>
  <c r="D833" i="16"/>
  <c r="C833" i="16"/>
  <c r="B833" i="16"/>
  <c r="I832" i="16"/>
  <c r="G832" i="16"/>
  <c r="F832" i="16"/>
  <c r="D832" i="16"/>
  <c r="C832" i="16"/>
  <c r="B832" i="16"/>
  <c r="I831" i="16"/>
  <c r="G831" i="16"/>
  <c r="F831" i="16"/>
  <c r="D831" i="16"/>
  <c r="C831" i="16"/>
  <c r="B831" i="16"/>
  <c r="I830" i="16"/>
  <c r="G830" i="16"/>
  <c r="F830" i="16"/>
  <c r="D830" i="16"/>
  <c r="C830" i="16"/>
  <c r="B830" i="16"/>
  <c r="I829" i="16"/>
  <c r="G829" i="16"/>
  <c r="F829" i="16"/>
  <c r="D829" i="16"/>
  <c r="C829" i="16"/>
  <c r="B829" i="16"/>
  <c r="I828" i="16"/>
  <c r="G828" i="16"/>
  <c r="D828" i="16"/>
  <c r="C828" i="16"/>
  <c r="B828" i="16"/>
  <c r="I827" i="16"/>
  <c r="G827" i="16"/>
  <c r="F827" i="16"/>
  <c r="D827" i="16"/>
  <c r="C827" i="16"/>
  <c r="B827" i="16"/>
  <c r="I826" i="16"/>
  <c r="G826" i="16"/>
  <c r="F826" i="16"/>
  <c r="D826" i="16"/>
  <c r="C826" i="16"/>
  <c r="B826" i="16"/>
  <c r="I825" i="16"/>
  <c r="G825" i="16"/>
  <c r="F825" i="16"/>
  <c r="D825" i="16"/>
  <c r="C825" i="16"/>
  <c r="B825" i="16"/>
  <c r="I824" i="16"/>
  <c r="G824" i="16"/>
  <c r="F824" i="16"/>
  <c r="D824" i="16"/>
  <c r="C824" i="16"/>
  <c r="B824" i="16"/>
  <c r="I823" i="16"/>
  <c r="G823" i="16"/>
  <c r="F823" i="16"/>
  <c r="D823" i="16"/>
  <c r="C823" i="16"/>
  <c r="B823" i="16"/>
  <c r="I822" i="16"/>
  <c r="G822" i="16"/>
  <c r="D822" i="16"/>
  <c r="C822" i="16"/>
  <c r="B822" i="16"/>
  <c r="I821" i="16"/>
  <c r="G821" i="16"/>
  <c r="F821" i="16"/>
  <c r="D821" i="16"/>
  <c r="C821" i="16"/>
  <c r="B821" i="16"/>
  <c r="I820" i="16"/>
  <c r="G820" i="16"/>
  <c r="D820" i="16"/>
  <c r="C820" i="16"/>
  <c r="B820" i="16"/>
  <c r="I819" i="16"/>
  <c r="G819" i="16"/>
  <c r="D819" i="16"/>
  <c r="C819" i="16"/>
  <c r="B819" i="16"/>
  <c r="I818" i="16"/>
  <c r="G818" i="16"/>
  <c r="D818" i="16"/>
  <c r="C818" i="16"/>
  <c r="B818" i="16"/>
  <c r="I817" i="16"/>
  <c r="G817" i="16"/>
  <c r="D817" i="16"/>
  <c r="C817" i="16"/>
  <c r="B817" i="16"/>
  <c r="I816" i="16"/>
  <c r="G816" i="16"/>
  <c r="F816" i="16"/>
  <c r="D816" i="16"/>
  <c r="C816" i="16"/>
  <c r="B816" i="16"/>
  <c r="I815" i="16"/>
  <c r="G815" i="16"/>
  <c r="F815" i="16"/>
  <c r="C815" i="16"/>
  <c r="B815" i="16"/>
  <c r="I814" i="16"/>
  <c r="G814" i="16"/>
  <c r="F814" i="16"/>
  <c r="C814" i="16"/>
  <c r="B814" i="16"/>
  <c r="I813" i="16"/>
  <c r="G813" i="16"/>
  <c r="D813" i="16"/>
  <c r="C813" i="16"/>
  <c r="B813" i="16"/>
  <c r="I812" i="16"/>
  <c r="G812" i="16"/>
  <c r="F812" i="16"/>
  <c r="D812" i="16"/>
  <c r="C812" i="16"/>
  <c r="B812" i="16"/>
  <c r="I811" i="16"/>
  <c r="G811" i="16"/>
  <c r="F811" i="16"/>
  <c r="D811" i="16"/>
  <c r="C811" i="16"/>
  <c r="B811" i="16"/>
  <c r="I810" i="16"/>
  <c r="G810" i="16"/>
  <c r="F810" i="16"/>
  <c r="D810" i="16"/>
  <c r="C810" i="16"/>
  <c r="B810" i="16"/>
  <c r="I809" i="16"/>
  <c r="G809" i="16"/>
  <c r="F809" i="16"/>
  <c r="D809" i="16"/>
  <c r="C809" i="16"/>
  <c r="B809" i="16"/>
  <c r="I808" i="16"/>
  <c r="G808" i="16"/>
  <c r="F808" i="16"/>
  <c r="D808" i="16"/>
  <c r="C808" i="16"/>
  <c r="B808" i="16"/>
  <c r="I807" i="16"/>
  <c r="G807" i="16"/>
  <c r="F807" i="16"/>
  <c r="D807" i="16"/>
  <c r="C807" i="16"/>
  <c r="B807" i="16"/>
  <c r="I806" i="16"/>
  <c r="G806" i="16"/>
  <c r="F806" i="16"/>
  <c r="D806" i="16"/>
  <c r="C806" i="16"/>
  <c r="B806" i="16"/>
  <c r="I805" i="16"/>
  <c r="G805" i="16"/>
  <c r="F805" i="16"/>
  <c r="D805" i="16"/>
  <c r="C805" i="16"/>
  <c r="B805" i="16"/>
  <c r="I804" i="16"/>
  <c r="G804" i="16"/>
  <c r="D804" i="16"/>
  <c r="C804" i="16"/>
  <c r="B804" i="16"/>
  <c r="I803" i="16"/>
  <c r="G803" i="16"/>
  <c r="F803" i="16"/>
  <c r="D803" i="16"/>
  <c r="C803" i="16"/>
  <c r="B803" i="16"/>
  <c r="I802" i="16"/>
  <c r="G802" i="16"/>
  <c r="D802" i="16"/>
  <c r="C802" i="16"/>
  <c r="B802" i="16"/>
  <c r="I801" i="16"/>
  <c r="G801" i="16"/>
  <c r="F801" i="16"/>
  <c r="D801" i="16"/>
  <c r="C801" i="16"/>
  <c r="B801" i="16"/>
  <c r="I800" i="16"/>
  <c r="G800" i="16"/>
  <c r="F800" i="16"/>
  <c r="D800" i="16"/>
  <c r="C800" i="16"/>
  <c r="B800" i="16"/>
  <c r="I799" i="16"/>
  <c r="G799" i="16"/>
  <c r="F799" i="16"/>
  <c r="D799" i="16"/>
  <c r="C799" i="16"/>
  <c r="B799" i="16"/>
  <c r="I798" i="16"/>
  <c r="G798" i="16"/>
  <c r="F798" i="16"/>
  <c r="D798" i="16"/>
  <c r="C798" i="16"/>
  <c r="B798" i="16"/>
  <c r="I797" i="16"/>
  <c r="G797" i="16"/>
  <c r="F797" i="16"/>
  <c r="D797" i="16"/>
  <c r="C797" i="16"/>
  <c r="B797" i="16"/>
  <c r="I796" i="16"/>
  <c r="G796" i="16"/>
  <c r="F796" i="16"/>
  <c r="D796" i="16"/>
  <c r="C796" i="16"/>
  <c r="B796" i="16"/>
  <c r="I795" i="16"/>
  <c r="G795" i="16"/>
  <c r="F795" i="16"/>
  <c r="D795" i="16"/>
  <c r="C795" i="16"/>
  <c r="B795" i="16"/>
  <c r="I794" i="16"/>
  <c r="G794" i="16"/>
  <c r="F794" i="16"/>
  <c r="D794" i="16"/>
  <c r="C794" i="16"/>
  <c r="B794" i="16"/>
  <c r="I793" i="16"/>
  <c r="G793" i="16"/>
  <c r="F793" i="16"/>
  <c r="D793" i="16"/>
  <c r="C793" i="16"/>
  <c r="B793" i="16"/>
  <c r="I792" i="16"/>
  <c r="G792" i="16"/>
  <c r="F792" i="16"/>
  <c r="D792" i="16"/>
  <c r="C792" i="16"/>
  <c r="B792" i="16"/>
  <c r="I791" i="16"/>
  <c r="G791" i="16"/>
  <c r="F791" i="16"/>
  <c r="D791" i="16"/>
  <c r="C791" i="16"/>
  <c r="B791" i="16"/>
  <c r="I790" i="16"/>
  <c r="G790" i="16"/>
  <c r="F790" i="16"/>
  <c r="D790" i="16"/>
  <c r="C790" i="16"/>
  <c r="B790" i="16"/>
  <c r="I789" i="16"/>
  <c r="G789" i="16"/>
  <c r="F789" i="16"/>
  <c r="D789" i="16"/>
  <c r="C789" i="16"/>
  <c r="B789" i="16"/>
  <c r="I788" i="16"/>
  <c r="G788" i="16"/>
  <c r="F788" i="16"/>
  <c r="D788" i="16"/>
  <c r="C788" i="16"/>
  <c r="B788" i="16"/>
  <c r="I787" i="16"/>
  <c r="G787" i="16"/>
  <c r="F787" i="16"/>
  <c r="D787" i="16"/>
  <c r="C787" i="16"/>
  <c r="B787" i="16"/>
  <c r="I786" i="16"/>
  <c r="G786" i="16"/>
  <c r="F786" i="16"/>
  <c r="D786" i="16"/>
  <c r="C786" i="16"/>
  <c r="B786" i="16"/>
  <c r="I785" i="16"/>
  <c r="G785" i="16"/>
  <c r="F785" i="16"/>
  <c r="D785" i="16"/>
  <c r="C785" i="16"/>
  <c r="B785" i="16"/>
  <c r="I784" i="16"/>
  <c r="G784" i="16"/>
  <c r="F784" i="16"/>
  <c r="D784" i="16"/>
  <c r="C784" i="16"/>
  <c r="B784" i="16"/>
  <c r="I783" i="16"/>
  <c r="G783" i="16"/>
  <c r="F783" i="16"/>
  <c r="D783" i="16"/>
  <c r="C783" i="16"/>
  <c r="B783" i="16"/>
  <c r="I782" i="16"/>
  <c r="G782" i="16"/>
  <c r="F782" i="16"/>
  <c r="D782" i="16"/>
  <c r="C782" i="16"/>
  <c r="B782" i="16"/>
  <c r="I781" i="16"/>
  <c r="G781" i="16"/>
  <c r="F781" i="16"/>
  <c r="D781" i="16"/>
  <c r="C781" i="16"/>
  <c r="B781" i="16"/>
  <c r="I780" i="16"/>
  <c r="G780" i="16"/>
  <c r="F780" i="16"/>
  <c r="D780" i="16"/>
  <c r="C780" i="16"/>
  <c r="B780" i="16"/>
  <c r="I779" i="16"/>
  <c r="G779" i="16"/>
  <c r="F779" i="16"/>
  <c r="D779" i="16"/>
  <c r="C779" i="16"/>
  <c r="B779" i="16"/>
  <c r="I778" i="16"/>
  <c r="G778" i="16"/>
  <c r="F778" i="16"/>
  <c r="D778" i="16"/>
  <c r="C778" i="16"/>
  <c r="B778" i="16"/>
  <c r="I777" i="16"/>
  <c r="G777" i="16"/>
  <c r="F777" i="16"/>
  <c r="D777" i="16"/>
  <c r="C777" i="16"/>
  <c r="B777" i="16"/>
  <c r="I776" i="16"/>
  <c r="G776" i="16"/>
  <c r="F776" i="16"/>
  <c r="D776" i="16"/>
  <c r="C776" i="16"/>
  <c r="B776" i="16"/>
  <c r="I775" i="16"/>
  <c r="G775" i="16"/>
  <c r="F775" i="16"/>
  <c r="D775" i="16"/>
  <c r="C775" i="16"/>
  <c r="B775" i="16"/>
  <c r="I774" i="16"/>
  <c r="G774" i="16"/>
  <c r="F774" i="16"/>
  <c r="D774" i="16"/>
  <c r="C774" i="16"/>
  <c r="B774" i="16"/>
  <c r="I773" i="16"/>
  <c r="G773" i="16"/>
  <c r="F773" i="16"/>
  <c r="D773" i="16"/>
  <c r="C773" i="16"/>
  <c r="B773" i="16"/>
  <c r="I772" i="16"/>
  <c r="G772" i="16"/>
  <c r="F772" i="16"/>
  <c r="D772" i="16"/>
  <c r="C772" i="16"/>
  <c r="B772" i="16"/>
  <c r="I771" i="16"/>
  <c r="G771" i="16"/>
  <c r="F771" i="16"/>
  <c r="D771" i="16"/>
  <c r="C771" i="16"/>
  <c r="B771" i="16"/>
  <c r="I770" i="16"/>
  <c r="G770" i="16"/>
  <c r="F770" i="16"/>
  <c r="D770" i="16"/>
  <c r="C770" i="16"/>
  <c r="B770" i="16"/>
  <c r="I769" i="16"/>
  <c r="G769" i="16"/>
  <c r="F769" i="16"/>
  <c r="D769" i="16"/>
  <c r="C769" i="16"/>
  <c r="B769" i="16"/>
  <c r="I768" i="16"/>
  <c r="G768" i="16"/>
  <c r="F768" i="16"/>
  <c r="D768" i="16"/>
  <c r="C768" i="16"/>
  <c r="B768" i="16"/>
  <c r="I767" i="16"/>
  <c r="G767" i="16"/>
  <c r="F767" i="16"/>
  <c r="D767" i="16"/>
  <c r="C767" i="16"/>
  <c r="B767" i="16"/>
  <c r="I766" i="16"/>
  <c r="G766" i="16"/>
  <c r="F766" i="16"/>
  <c r="D766" i="16"/>
  <c r="C766" i="16"/>
  <c r="B766" i="16"/>
  <c r="I765" i="16"/>
  <c r="G765" i="16"/>
  <c r="F765" i="16"/>
  <c r="D765" i="16"/>
  <c r="C765" i="16"/>
  <c r="B765" i="16"/>
  <c r="I764" i="16"/>
  <c r="G764" i="16"/>
  <c r="F764" i="16"/>
  <c r="D764" i="16"/>
  <c r="C764" i="16"/>
  <c r="B764" i="16"/>
  <c r="I763" i="16"/>
  <c r="G763" i="16"/>
  <c r="F763" i="16"/>
  <c r="D763" i="16"/>
  <c r="C763" i="16"/>
  <c r="B763" i="16"/>
  <c r="I762" i="16"/>
  <c r="G762" i="16"/>
  <c r="F762" i="16"/>
  <c r="D762" i="16"/>
  <c r="C762" i="16"/>
  <c r="B762" i="16"/>
  <c r="I761" i="16"/>
  <c r="G761" i="16"/>
  <c r="F761" i="16"/>
  <c r="D761" i="16"/>
  <c r="C761" i="16"/>
  <c r="B761" i="16"/>
  <c r="I760" i="16"/>
  <c r="G760" i="16"/>
  <c r="F760" i="16"/>
  <c r="D760" i="16"/>
  <c r="C760" i="16"/>
  <c r="B760" i="16"/>
  <c r="I759" i="16"/>
  <c r="G759" i="16"/>
  <c r="F759" i="16"/>
  <c r="D759" i="16"/>
  <c r="C759" i="16"/>
  <c r="B759" i="16"/>
  <c r="I758" i="16"/>
  <c r="G758" i="16"/>
  <c r="F758" i="16"/>
  <c r="D758" i="16"/>
  <c r="C758" i="16"/>
  <c r="B758" i="16"/>
  <c r="I757" i="16"/>
  <c r="G757" i="16"/>
  <c r="F757" i="16"/>
  <c r="D757" i="16"/>
  <c r="C757" i="16"/>
  <c r="B757" i="16"/>
  <c r="I756" i="16"/>
  <c r="G756" i="16"/>
  <c r="F756" i="16"/>
  <c r="D756" i="16"/>
  <c r="C756" i="16"/>
  <c r="B756" i="16"/>
  <c r="I755" i="16"/>
  <c r="G755" i="16"/>
  <c r="F755" i="16"/>
  <c r="D755" i="16"/>
  <c r="C755" i="16"/>
  <c r="B755" i="16"/>
  <c r="I754" i="16"/>
  <c r="G754" i="16"/>
  <c r="F754" i="16"/>
  <c r="D754" i="16"/>
  <c r="C754" i="16"/>
  <c r="B754" i="16"/>
  <c r="I753" i="16"/>
  <c r="G753" i="16"/>
  <c r="F753" i="16"/>
  <c r="D753" i="16"/>
  <c r="C753" i="16"/>
  <c r="B753" i="16"/>
  <c r="I752" i="16"/>
  <c r="G752" i="16"/>
  <c r="F752" i="16"/>
  <c r="D752" i="16"/>
  <c r="C752" i="16"/>
  <c r="B752" i="16"/>
  <c r="I751" i="16"/>
  <c r="G751" i="16"/>
  <c r="F751" i="16"/>
  <c r="D751" i="16"/>
  <c r="C751" i="16"/>
  <c r="B751" i="16"/>
  <c r="I750" i="16"/>
  <c r="G750" i="16"/>
  <c r="F750" i="16"/>
  <c r="D750" i="16"/>
  <c r="C750" i="16"/>
  <c r="B750" i="16"/>
  <c r="I749" i="16"/>
  <c r="G749" i="16"/>
  <c r="F749" i="16"/>
  <c r="D749" i="16"/>
  <c r="C749" i="16"/>
  <c r="B749" i="16"/>
  <c r="I748" i="16"/>
  <c r="G748" i="16"/>
  <c r="F748" i="16"/>
  <c r="D748" i="16"/>
  <c r="C748" i="16"/>
  <c r="B748" i="16"/>
  <c r="I747" i="16"/>
  <c r="G747" i="16"/>
  <c r="F747" i="16"/>
  <c r="D747" i="16"/>
  <c r="C747" i="16"/>
  <c r="B747" i="16"/>
  <c r="I746" i="16"/>
  <c r="G746" i="16"/>
  <c r="F746" i="16"/>
  <c r="D746" i="16"/>
  <c r="C746" i="16"/>
  <c r="B746" i="16"/>
  <c r="I745" i="16"/>
  <c r="G745" i="16"/>
  <c r="F745" i="16"/>
  <c r="D745" i="16"/>
  <c r="C745" i="16"/>
  <c r="B745" i="16"/>
  <c r="I744" i="16"/>
  <c r="G744" i="16"/>
  <c r="F744" i="16"/>
  <c r="D744" i="16"/>
  <c r="C744" i="16"/>
  <c r="B744" i="16"/>
  <c r="I743" i="16"/>
  <c r="G743" i="16"/>
  <c r="F743" i="16"/>
  <c r="D743" i="16"/>
  <c r="C743" i="16"/>
  <c r="B743" i="16"/>
  <c r="I742" i="16"/>
  <c r="G742" i="16"/>
  <c r="F742" i="16"/>
  <c r="D742" i="16"/>
  <c r="C742" i="16"/>
  <c r="B742" i="16"/>
  <c r="I741" i="16"/>
  <c r="G741" i="16"/>
  <c r="F741" i="16"/>
  <c r="D741" i="16"/>
  <c r="C741" i="16"/>
  <c r="B741" i="16"/>
  <c r="I740" i="16"/>
  <c r="G740" i="16"/>
  <c r="F740" i="16"/>
  <c r="D740" i="16"/>
  <c r="C740" i="16"/>
  <c r="B740" i="16"/>
  <c r="I739" i="16"/>
  <c r="G739" i="16"/>
  <c r="F739" i="16"/>
  <c r="D739" i="16"/>
  <c r="C739" i="16"/>
  <c r="B739" i="16"/>
  <c r="I738" i="16"/>
  <c r="G738" i="16"/>
  <c r="F738" i="16"/>
  <c r="D738" i="16"/>
  <c r="C738" i="16"/>
  <c r="B738" i="16"/>
  <c r="I737" i="16"/>
  <c r="G737" i="16"/>
  <c r="F737" i="16"/>
  <c r="D737" i="16"/>
  <c r="C737" i="16"/>
  <c r="B737" i="16"/>
  <c r="I736" i="16"/>
  <c r="G736" i="16"/>
  <c r="F736" i="16"/>
  <c r="D736" i="16"/>
  <c r="C736" i="16"/>
  <c r="B736" i="16"/>
  <c r="I735" i="16"/>
  <c r="G735" i="16"/>
  <c r="F735" i="16"/>
  <c r="D735" i="16"/>
  <c r="C735" i="16"/>
  <c r="B735" i="16"/>
  <c r="I734" i="16"/>
  <c r="G734" i="16"/>
  <c r="F734" i="16"/>
  <c r="D734" i="16"/>
  <c r="C734" i="16"/>
  <c r="B734" i="16"/>
  <c r="I733" i="16"/>
  <c r="G733" i="16"/>
  <c r="F733" i="16"/>
  <c r="D733" i="16"/>
  <c r="C733" i="16"/>
  <c r="B733" i="16"/>
  <c r="I732" i="16"/>
  <c r="G732" i="16"/>
  <c r="F732" i="16"/>
  <c r="D732" i="16"/>
  <c r="C732" i="16"/>
  <c r="B732" i="16"/>
  <c r="I731" i="16"/>
  <c r="G731" i="16"/>
  <c r="F731" i="16"/>
  <c r="D731" i="16"/>
  <c r="C731" i="16"/>
  <c r="B731" i="16"/>
  <c r="I730" i="16"/>
  <c r="G730" i="16"/>
  <c r="F730" i="16"/>
  <c r="D730" i="16"/>
  <c r="C730" i="16"/>
  <c r="B730" i="16"/>
  <c r="I729" i="16"/>
  <c r="G729" i="16"/>
  <c r="F729" i="16"/>
  <c r="D729" i="16"/>
  <c r="C729" i="16"/>
  <c r="B729" i="16"/>
  <c r="I728" i="16"/>
  <c r="G728" i="16"/>
  <c r="F728" i="16"/>
  <c r="D728" i="16"/>
  <c r="C728" i="16"/>
  <c r="B728" i="16"/>
  <c r="I727" i="16"/>
  <c r="G727" i="16"/>
  <c r="F727" i="16"/>
  <c r="D727" i="16"/>
  <c r="C727" i="16"/>
  <c r="B727" i="16"/>
  <c r="I726" i="16"/>
  <c r="G726" i="16"/>
  <c r="F726" i="16"/>
  <c r="D726" i="16"/>
  <c r="C726" i="16"/>
  <c r="B726" i="16"/>
  <c r="I725" i="16"/>
  <c r="G725" i="16"/>
  <c r="F725" i="16"/>
  <c r="D725" i="16"/>
  <c r="C725" i="16"/>
  <c r="B725" i="16"/>
  <c r="I724" i="16"/>
  <c r="G724" i="16"/>
  <c r="F724" i="16"/>
  <c r="D724" i="16"/>
  <c r="C724" i="16"/>
  <c r="B724" i="16"/>
  <c r="I723" i="16"/>
  <c r="G723" i="16"/>
  <c r="F723" i="16"/>
  <c r="D723" i="16"/>
  <c r="C723" i="16"/>
  <c r="B723" i="16"/>
  <c r="I722" i="16"/>
  <c r="G722" i="16"/>
  <c r="F722" i="16"/>
  <c r="D722" i="16"/>
  <c r="C722" i="16"/>
  <c r="B722" i="16"/>
  <c r="I721" i="16"/>
  <c r="G721" i="16"/>
  <c r="F721" i="16"/>
  <c r="D721" i="16"/>
  <c r="C721" i="16"/>
  <c r="B721" i="16"/>
  <c r="I720" i="16"/>
  <c r="G720" i="16"/>
  <c r="F720" i="16"/>
  <c r="D720" i="16"/>
  <c r="C720" i="16"/>
  <c r="B720" i="16"/>
  <c r="I719" i="16"/>
  <c r="G719" i="16"/>
  <c r="F719" i="16"/>
  <c r="D719" i="16"/>
  <c r="C719" i="16"/>
  <c r="B719" i="16"/>
  <c r="I718" i="16"/>
  <c r="G718" i="16"/>
  <c r="F718" i="16"/>
  <c r="D718" i="16"/>
  <c r="C718" i="16"/>
  <c r="B718" i="16"/>
  <c r="I717" i="16"/>
  <c r="G717" i="16"/>
  <c r="F717" i="16"/>
  <c r="D717" i="16"/>
  <c r="C717" i="16"/>
  <c r="B717" i="16"/>
  <c r="I716" i="16"/>
  <c r="G716" i="16"/>
  <c r="F716" i="16"/>
  <c r="D716" i="16"/>
  <c r="C716" i="16"/>
  <c r="B716" i="16"/>
  <c r="I715" i="16"/>
  <c r="G715" i="16"/>
  <c r="F715" i="16"/>
  <c r="D715" i="16"/>
  <c r="C715" i="16"/>
  <c r="B715" i="16"/>
  <c r="I714" i="16"/>
  <c r="G714" i="16"/>
  <c r="F714" i="16"/>
  <c r="D714" i="16"/>
  <c r="C714" i="16"/>
  <c r="B714" i="16"/>
  <c r="I713" i="16"/>
  <c r="G713" i="16"/>
  <c r="F713" i="16"/>
  <c r="D713" i="16"/>
  <c r="C713" i="16"/>
  <c r="B713" i="16"/>
  <c r="I712" i="16"/>
  <c r="G712" i="16"/>
  <c r="F712" i="16"/>
  <c r="D712" i="16"/>
  <c r="C712" i="16"/>
  <c r="B712" i="16"/>
  <c r="I711" i="16"/>
  <c r="G711" i="16"/>
  <c r="F711" i="16"/>
  <c r="D711" i="16"/>
  <c r="C711" i="16"/>
  <c r="B711" i="16"/>
  <c r="I710" i="16"/>
  <c r="G710" i="16"/>
  <c r="F710" i="16"/>
  <c r="D710" i="16"/>
  <c r="C710" i="16"/>
  <c r="B710" i="16"/>
  <c r="I709" i="16"/>
  <c r="G709" i="16"/>
  <c r="F709" i="16"/>
  <c r="D709" i="16"/>
  <c r="C709" i="16"/>
  <c r="B709" i="16"/>
  <c r="I708" i="16"/>
  <c r="G708" i="16"/>
  <c r="F708" i="16"/>
  <c r="D708" i="16"/>
  <c r="C708" i="16"/>
  <c r="B708" i="16"/>
  <c r="I707" i="16"/>
  <c r="G707" i="16"/>
  <c r="F707" i="16"/>
  <c r="D707" i="16"/>
  <c r="C707" i="16"/>
  <c r="B707" i="16"/>
  <c r="I706" i="16"/>
  <c r="G706" i="16"/>
  <c r="F706" i="16"/>
  <c r="D706" i="16"/>
  <c r="C706" i="16"/>
  <c r="B706" i="16"/>
  <c r="I705" i="16"/>
  <c r="G705" i="16"/>
  <c r="F705" i="16"/>
  <c r="D705" i="16"/>
  <c r="C705" i="16"/>
  <c r="B705" i="16"/>
  <c r="I704" i="16"/>
  <c r="G704" i="16"/>
  <c r="F704" i="16"/>
  <c r="D704" i="16"/>
  <c r="C704" i="16"/>
  <c r="B704" i="16"/>
  <c r="I703" i="16"/>
  <c r="G703" i="16"/>
  <c r="F703" i="16"/>
  <c r="D703" i="16"/>
  <c r="C703" i="16"/>
  <c r="B703" i="16"/>
  <c r="I702" i="16"/>
  <c r="G702" i="16"/>
  <c r="F702" i="16"/>
  <c r="D702" i="16"/>
  <c r="C702" i="16"/>
  <c r="B702" i="16"/>
  <c r="I701" i="16"/>
  <c r="G701" i="16"/>
  <c r="F701" i="16"/>
  <c r="D701" i="16"/>
  <c r="C701" i="16"/>
  <c r="B701" i="16"/>
  <c r="I700" i="16"/>
  <c r="G700" i="16"/>
  <c r="F700" i="16"/>
  <c r="D700" i="16"/>
  <c r="C700" i="16"/>
  <c r="B700" i="16"/>
  <c r="I699" i="16"/>
  <c r="G699" i="16"/>
  <c r="F699" i="16"/>
  <c r="D699" i="16"/>
  <c r="C699" i="16"/>
  <c r="B699" i="16"/>
  <c r="I698" i="16"/>
  <c r="G698" i="16"/>
  <c r="F698" i="16"/>
  <c r="D698" i="16"/>
  <c r="C698" i="16"/>
  <c r="B698" i="16"/>
  <c r="I697" i="16"/>
  <c r="G697" i="16"/>
  <c r="F697" i="16"/>
  <c r="D697" i="16"/>
  <c r="C697" i="16"/>
  <c r="B697" i="16"/>
  <c r="I696" i="16"/>
  <c r="G696" i="16"/>
  <c r="F696" i="16"/>
  <c r="D696" i="16"/>
  <c r="C696" i="16"/>
  <c r="B696" i="16"/>
  <c r="I695" i="16"/>
  <c r="G695" i="16"/>
  <c r="F695" i="16"/>
  <c r="D695" i="16"/>
  <c r="C695" i="16"/>
  <c r="B695" i="16"/>
  <c r="I694" i="16"/>
  <c r="G694" i="16"/>
  <c r="F694" i="16"/>
  <c r="D694" i="16"/>
  <c r="C694" i="16"/>
  <c r="B694" i="16"/>
  <c r="I693" i="16"/>
  <c r="G693" i="16"/>
  <c r="F693" i="16"/>
  <c r="D693" i="16"/>
  <c r="C693" i="16"/>
  <c r="B693" i="16"/>
  <c r="I692" i="16"/>
  <c r="G692" i="16"/>
  <c r="F692" i="16"/>
  <c r="D692" i="16"/>
  <c r="C692" i="16"/>
  <c r="B692" i="16"/>
  <c r="I691" i="16"/>
  <c r="G691" i="16"/>
  <c r="F691" i="16"/>
  <c r="D691" i="16"/>
  <c r="C691" i="16"/>
  <c r="B691" i="16"/>
  <c r="I690" i="16"/>
  <c r="G690" i="16"/>
  <c r="F690" i="16"/>
  <c r="D690" i="16"/>
  <c r="C690" i="16"/>
  <c r="B690" i="16"/>
  <c r="I689" i="16"/>
  <c r="G689" i="16"/>
  <c r="F689" i="16"/>
  <c r="D689" i="16"/>
  <c r="C689" i="16"/>
  <c r="B689" i="16"/>
  <c r="I688" i="16"/>
  <c r="G688" i="16"/>
  <c r="F688" i="16"/>
  <c r="D688" i="16"/>
  <c r="C688" i="16"/>
  <c r="B688" i="16"/>
  <c r="I687" i="16"/>
  <c r="G687" i="16"/>
  <c r="F687" i="16"/>
  <c r="D687" i="16"/>
  <c r="C687" i="16"/>
  <c r="B687" i="16"/>
  <c r="I686" i="16"/>
  <c r="G686" i="16"/>
  <c r="F686" i="16"/>
  <c r="D686" i="16"/>
  <c r="C686" i="16"/>
  <c r="B686" i="16"/>
  <c r="I685" i="16"/>
  <c r="G685" i="16"/>
  <c r="F685" i="16"/>
  <c r="D685" i="16"/>
  <c r="C685" i="16"/>
  <c r="B685" i="16"/>
  <c r="I684" i="16"/>
  <c r="G684" i="16"/>
  <c r="F684" i="16"/>
  <c r="D684" i="16"/>
  <c r="C684" i="16"/>
  <c r="B684" i="16"/>
  <c r="I683" i="16"/>
  <c r="G683" i="16"/>
  <c r="F683" i="16"/>
  <c r="D683" i="16"/>
  <c r="C683" i="16"/>
  <c r="B683" i="16"/>
  <c r="I682" i="16"/>
  <c r="G682" i="16"/>
  <c r="F682" i="16"/>
  <c r="D682" i="16"/>
  <c r="C682" i="16"/>
  <c r="B682" i="16"/>
  <c r="I681" i="16"/>
  <c r="G681" i="16"/>
  <c r="F681" i="16"/>
  <c r="D681" i="16"/>
  <c r="C681" i="16"/>
  <c r="B681" i="16"/>
  <c r="I680" i="16"/>
  <c r="G680" i="16"/>
  <c r="F680" i="16"/>
  <c r="D680" i="16"/>
  <c r="C680" i="16"/>
  <c r="B680" i="16"/>
  <c r="I679" i="16"/>
  <c r="G679" i="16"/>
  <c r="F679" i="16"/>
  <c r="D679" i="16"/>
  <c r="C679" i="16"/>
  <c r="B679" i="16"/>
  <c r="I678" i="16"/>
  <c r="G678" i="16"/>
  <c r="F678" i="16"/>
  <c r="D678" i="16"/>
  <c r="C678" i="16"/>
  <c r="B678" i="16"/>
  <c r="I677" i="16"/>
  <c r="G677" i="16"/>
  <c r="F677" i="16"/>
  <c r="D677" i="16"/>
  <c r="C677" i="16"/>
  <c r="B677" i="16"/>
  <c r="I676" i="16"/>
  <c r="G676" i="16"/>
  <c r="F676" i="16"/>
  <c r="D676" i="16"/>
  <c r="C676" i="16"/>
  <c r="B676" i="16"/>
  <c r="I675" i="16"/>
  <c r="G675" i="16"/>
  <c r="F675" i="16"/>
  <c r="D675" i="16"/>
  <c r="C675" i="16"/>
  <c r="B675" i="16"/>
  <c r="I674" i="16"/>
  <c r="G674" i="16"/>
  <c r="F674" i="16"/>
  <c r="D674" i="16"/>
  <c r="C674" i="16"/>
  <c r="B674" i="16"/>
  <c r="I673" i="16"/>
  <c r="G673" i="16"/>
  <c r="F673" i="16"/>
  <c r="D673" i="16"/>
  <c r="C673" i="16"/>
  <c r="B673" i="16"/>
  <c r="I672" i="16"/>
  <c r="G672" i="16"/>
  <c r="F672" i="16"/>
  <c r="D672" i="16"/>
  <c r="C672" i="16"/>
  <c r="B672" i="16"/>
  <c r="I671" i="16"/>
  <c r="G671" i="16"/>
  <c r="F671" i="16"/>
  <c r="D671" i="16"/>
  <c r="C671" i="16"/>
  <c r="B671" i="16"/>
  <c r="I670" i="16"/>
  <c r="G670" i="16"/>
  <c r="F670" i="16"/>
  <c r="D670" i="16"/>
  <c r="C670" i="16"/>
  <c r="B670" i="16"/>
  <c r="I669" i="16"/>
  <c r="G669" i="16"/>
  <c r="F669" i="16"/>
  <c r="D669" i="16"/>
  <c r="C669" i="16"/>
  <c r="B669" i="16"/>
  <c r="I668" i="16"/>
  <c r="G668" i="16"/>
  <c r="F668" i="16"/>
  <c r="D668" i="16"/>
  <c r="C668" i="16"/>
  <c r="B668" i="16"/>
  <c r="I667" i="16"/>
  <c r="G667" i="16"/>
  <c r="F667" i="16"/>
  <c r="D667" i="16"/>
  <c r="C667" i="16"/>
  <c r="B667" i="16"/>
  <c r="I666" i="16"/>
  <c r="G666" i="16"/>
  <c r="F666" i="16"/>
  <c r="D666" i="16"/>
  <c r="C666" i="16"/>
  <c r="B666" i="16"/>
  <c r="I665" i="16"/>
  <c r="G665" i="16"/>
  <c r="F665" i="16"/>
  <c r="D665" i="16"/>
  <c r="C665" i="16"/>
  <c r="B665" i="16"/>
  <c r="I664" i="16"/>
  <c r="G664" i="16"/>
  <c r="F664" i="16"/>
  <c r="D664" i="16"/>
  <c r="C664" i="16"/>
  <c r="B664" i="16"/>
  <c r="I663" i="16"/>
  <c r="G663" i="16"/>
  <c r="F663" i="16"/>
  <c r="D663" i="16"/>
  <c r="C663" i="16"/>
  <c r="B663" i="16"/>
  <c r="I662" i="16"/>
  <c r="G662" i="16"/>
  <c r="F662" i="16"/>
  <c r="D662" i="16"/>
  <c r="C662" i="16"/>
  <c r="B662" i="16"/>
  <c r="I661" i="16"/>
  <c r="G661" i="16"/>
  <c r="F661" i="16"/>
  <c r="D661" i="16"/>
  <c r="C661" i="16"/>
  <c r="B661" i="16"/>
  <c r="I660" i="16"/>
  <c r="G660" i="16"/>
  <c r="F660" i="16"/>
  <c r="D660" i="16"/>
  <c r="C660" i="16"/>
  <c r="B660" i="16"/>
  <c r="I659" i="16"/>
  <c r="G659" i="16"/>
  <c r="F659" i="16"/>
  <c r="D659" i="16"/>
  <c r="C659" i="16"/>
  <c r="B659" i="16"/>
  <c r="I658" i="16"/>
  <c r="G658" i="16"/>
  <c r="F658" i="16"/>
  <c r="D658" i="16"/>
  <c r="C658" i="16"/>
  <c r="B658" i="16"/>
  <c r="I657" i="16"/>
  <c r="G657" i="16"/>
  <c r="F657" i="16"/>
  <c r="D657" i="16"/>
  <c r="C657" i="16"/>
  <c r="B657" i="16"/>
  <c r="I656" i="16"/>
  <c r="G656" i="16"/>
  <c r="F656" i="16"/>
  <c r="D656" i="16"/>
  <c r="C656" i="16"/>
  <c r="B656" i="16"/>
  <c r="I655" i="16"/>
  <c r="G655" i="16"/>
  <c r="F655" i="16"/>
  <c r="D655" i="16"/>
  <c r="C655" i="16"/>
  <c r="B655" i="16"/>
  <c r="I654" i="16"/>
  <c r="G654" i="16"/>
  <c r="F654" i="16"/>
  <c r="D654" i="16"/>
  <c r="C654" i="16"/>
  <c r="B654" i="16"/>
  <c r="I653" i="16"/>
  <c r="G653" i="16"/>
  <c r="F653" i="16"/>
  <c r="D653" i="16"/>
  <c r="C653" i="16"/>
  <c r="B653" i="16"/>
  <c r="I652" i="16"/>
  <c r="G652" i="16"/>
  <c r="F652" i="16"/>
  <c r="D652" i="16"/>
  <c r="C652" i="16"/>
  <c r="B652" i="16"/>
  <c r="I651" i="16"/>
  <c r="G651" i="16"/>
  <c r="F651" i="16"/>
  <c r="D651" i="16"/>
  <c r="C651" i="16"/>
  <c r="B651" i="16"/>
  <c r="I650" i="16"/>
  <c r="G650" i="16"/>
  <c r="F650" i="16"/>
  <c r="D650" i="16"/>
  <c r="C650" i="16"/>
  <c r="B650" i="16"/>
  <c r="I649" i="16"/>
  <c r="G649" i="16"/>
  <c r="F649" i="16"/>
  <c r="D649" i="16"/>
  <c r="C649" i="16"/>
  <c r="B649" i="16"/>
  <c r="I648" i="16"/>
  <c r="G648" i="16"/>
  <c r="F648" i="16"/>
  <c r="D648" i="16"/>
  <c r="C648" i="16"/>
  <c r="B648" i="16"/>
  <c r="I647" i="16"/>
  <c r="G647" i="16"/>
  <c r="F647" i="16"/>
  <c r="D647" i="16"/>
  <c r="C647" i="16"/>
  <c r="B647" i="16"/>
  <c r="I646" i="16"/>
  <c r="G646" i="16"/>
  <c r="F646" i="16"/>
  <c r="D646" i="16"/>
  <c r="C646" i="16"/>
  <c r="B646" i="16"/>
  <c r="I645" i="16"/>
  <c r="G645" i="16"/>
  <c r="F645" i="16"/>
  <c r="D645" i="16"/>
  <c r="C645" i="16"/>
  <c r="B645" i="16"/>
  <c r="I644" i="16"/>
  <c r="G644" i="16"/>
  <c r="F644" i="16"/>
  <c r="D644" i="16"/>
  <c r="C644" i="16"/>
  <c r="B644" i="16"/>
  <c r="I643" i="16"/>
  <c r="G643" i="16"/>
  <c r="F643" i="16"/>
  <c r="D643" i="16"/>
  <c r="C643" i="16"/>
  <c r="B643" i="16"/>
  <c r="I642" i="16"/>
  <c r="G642" i="16"/>
  <c r="F642" i="16"/>
  <c r="D642" i="16"/>
  <c r="C642" i="16"/>
  <c r="B642" i="16"/>
  <c r="I641" i="16"/>
  <c r="G641" i="16"/>
  <c r="F641" i="16"/>
  <c r="D641" i="16"/>
  <c r="C641" i="16"/>
  <c r="B641" i="16"/>
  <c r="I640" i="16"/>
  <c r="G640" i="16"/>
  <c r="F640" i="16"/>
  <c r="D640" i="16"/>
  <c r="C640" i="16"/>
  <c r="B640" i="16"/>
  <c r="I639" i="16"/>
  <c r="G639" i="16"/>
  <c r="F639" i="16"/>
  <c r="D639" i="16"/>
  <c r="C639" i="16"/>
  <c r="B639" i="16"/>
  <c r="I638" i="16"/>
  <c r="G638" i="16"/>
  <c r="F638" i="16"/>
  <c r="D638" i="16"/>
  <c r="C638" i="16"/>
  <c r="B638" i="16"/>
  <c r="I637" i="16"/>
  <c r="G637" i="16"/>
  <c r="F637" i="16"/>
  <c r="D637" i="16"/>
  <c r="C637" i="16"/>
  <c r="B637" i="16"/>
  <c r="I636" i="16"/>
  <c r="G636" i="16"/>
  <c r="F636" i="16"/>
  <c r="D636" i="16"/>
  <c r="C636" i="16"/>
  <c r="B636" i="16"/>
  <c r="I635" i="16"/>
  <c r="G635" i="16"/>
  <c r="F635" i="16"/>
  <c r="D635" i="16"/>
  <c r="C635" i="16"/>
  <c r="B635" i="16"/>
  <c r="I634" i="16"/>
  <c r="G634" i="16"/>
  <c r="F634" i="16"/>
  <c r="D634" i="16"/>
  <c r="C634" i="16"/>
  <c r="B634" i="16"/>
  <c r="I633" i="16"/>
  <c r="G633" i="16"/>
  <c r="F633" i="16"/>
  <c r="D633" i="16"/>
  <c r="C633" i="16"/>
  <c r="B633" i="16"/>
  <c r="I632" i="16"/>
  <c r="G632" i="16"/>
  <c r="F632" i="16"/>
  <c r="D632" i="16"/>
  <c r="C632" i="16"/>
  <c r="B632" i="16"/>
  <c r="I631" i="16"/>
  <c r="G631" i="16"/>
  <c r="F631" i="16"/>
  <c r="D631" i="16"/>
  <c r="C631" i="16"/>
  <c r="B631" i="16"/>
  <c r="I630" i="16"/>
  <c r="G630" i="16"/>
  <c r="F630" i="16"/>
  <c r="D630" i="16"/>
  <c r="C630" i="16"/>
  <c r="B630" i="16"/>
  <c r="I629" i="16"/>
  <c r="G629" i="16"/>
  <c r="F629" i="16"/>
  <c r="D629" i="16"/>
  <c r="C629" i="16"/>
  <c r="B629" i="16"/>
  <c r="I628" i="16"/>
  <c r="G628" i="16"/>
  <c r="F628" i="16"/>
  <c r="D628" i="16"/>
  <c r="C628" i="16"/>
  <c r="B628" i="16"/>
  <c r="I627" i="16"/>
  <c r="G627" i="16"/>
  <c r="F627" i="16"/>
  <c r="D627" i="16"/>
  <c r="C627" i="16"/>
  <c r="B627" i="16"/>
  <c r="I626" i="16"/>
  <c r="G626" i="16"/>
  <c r="F626" i="16"/>
  <c r="D626" i="16"/>
  <c r="C626" i="16"/>
  <c r="B626" i="16"/>
  <c r="I625" i="16"/>
  <c r="G625" i="16"/>
  <c r="F625" i="16"/>
  <c r="D625" i="16"/>
  <c r="C625" i="16"/>
  <c r="B625" i="16"/>
  <c r="I624" i="16"/>
  <c r="G624" i="16"/>
  <c r="F624" i="16"/>
  <c r="D624" i="16"/>
  <c r="C624" i="16"/>
  <c r="B624" i="16"/>
  <c r="I623" i="16"/>
  <c r="G623" i="16"/>
  <c r="F623" i="16"/>
  <c r="D623" i="16"/>
  <c r="C623" i="16"/>
  <c r="B623" i="16"/>
  <c r="I622" i="16"/>
  <c r="G622" i="16"/>
  <c r="F622" i="16"/>
  <c r="D622" i="16"/>
  <c r="C622" i="16"/>
  <c r="B622" i="16"/>
  <c r="I621" i="16"/>
  <c r="G621" i="16"/>
  <c r="F621" i="16"/>
  <c r="D621" i="16"/>
  <c r="C621" i="16"/>
  <c r="B621" i="16"/>
  <c r="I620" i="16"/>
  <c r="G620" i="16"/>
  <c r="F620" i="16"/>
  <c r="D620" i="16"/>
  <c r="C620" i="16"/>
  <c r="B620" i="16"/>
  <c r="I619" i="16"/>
  <c r="G619" i="16"/>
  <c r="F619" i="16"/>
  <c r="D619" i="16"/>
  <c r="C619" i="16"/>
  <c r="B619" i="16"/>
  <c r="I618" i="16"/>
  <c r="G618" i="16"/>
  <c r="F618" i="16"/>
  <c r="D618" i="16"/>
  <c r="C618" i="16"/>
  <c r="B618" i="16"/>
  <c r="I617" i="16"/>
  <c r="G617" i="16"/>
  <c r="F617" i="16"/>
  <c r="D617" i="16"/>
  <c r="C617" i="16"/>
  <c r="B617" i="16"/>
  <c r="I616" i="16"/>
  <c r="G616" i="16"/>
  <c r="F616" i="16"/>
  <c r="D616" i="16"/>
  <c r="C616" i="16"/>
  <c r="B616" i="16"/>
  <c r="I615" i="16"/>
  <c r="G615" i="16"/>
  <c r="F615" i="16"/>
  <c r="D615" i="16"/>
  <c r="C615" i="16"/>
  <c r="B615" i="16"/>
  <c r="I614" i="16"/>
  <c r="G614" i="16"/>
  <c r="F614" i="16"/>
  <c r="D614" i="16"/>
  <c r="C614" i="16"/>
  <c r="B614" i="16"/>
  <c r="I613" i="16"/>
  <c r="G613" i="16"/>
  <c r="F613" i="16"/>
  <c r="D613" i="16"/>
  <c r="C613" i="16"/>
  <c r="B613" i="16"/>
  <c r="I612" i="16"/>
  <c r="G612" i="16"/>
  <c r="F612" i="16"/>
  <c r="D612" i="16"/>
  <c r="C612" i="16"/>
  <c r="B612" i="16"/>
  <c r="I611" i="16"/>
  <c r="G611" i="16"/>
  <c r="F611" i="16"/>
  <c r="D611" i="16"/>
  <c r="C611" i="16"/>
  <c r="B611" i="16"/>
  <c r="I610" i="16"/>
  <c r="G610" i="16"/>
  <c r="F610" i="16"/>
  <c r="D610" i="16"/>
  <c r="C610" i="16"/>
  <c r="B610" i="16"/>
  <c r="I609" i="16"/>
  <c r="G609" i="16"/>
  <c r="F609" i="16"/>
  <c r="D609" i="16"/>
  <c r="C609" i="16"/>
  <c r="B609" i="16"/>
  <c r="I608" i="16"/>
  <c r="G608" i="16"/>
  <c r="F608" i="16"/>
  <c r="D608" i="16"/>
  <c r="C608" i="16"/>
  <c r="B608" i="16"/>
  <c r="I607" i="16"/>
  <c r="G607" i="16"/>
  <c r="F607" i="16"/>
  <c r="D607" i="16"/>
  <c r="C607" i="16"/>
  <c r="B607" i="16"/>
  <c r="I606" i="16"/>
  <c r="G606" i="16"/>
  <c r="F606" i="16"/>
  <c r="D606" i="16"/>
  <c r="C606" i="16"/>
  <c r="B606" i="16"/>
  <c r="I605" i="16"/>
  <c r="G605" i="16"/>
  <c r="F605" i="16"/>
  <c r="D605" i="16"/>
  <c r="C605" i="16"/>
  <c r="B605" i="16"/>
  <c r="I604" i="16"/>
  <c r="G604" i="16"/>
  <c r="F604" i="16"/>
  <c r="D604" i="16"/>
  <c r="C604" i="16"/>
  <c r="B604" i="16"/>
  <c r="I603" i="16"/>
  <c r="G603" i="16"/>
  <c r="F603" i="16"/>
  <c r="D603" i="16"/>
  <c r="C603" i="16"/>
  <c r="B603" i="16"/>
  <c r="I602" i="16"/>
  <c r="G602" i="16"/>
  <c r="F602" i="16"/>
  <c r="D602" i="16"/>
  <c r="C602" i="16"/>
  <c r="B602" i="16"/>
  <c r="I601" i="16"/>
  <c r="G601" i="16"/>
  <c r="F601" i="16"/>
  <c r="D601" i="16"/>
  <c r="C601" i="16"/>
  <c r="B601" i="16"/>
  <c r="I600" i="16"/>
  <c r="G600" i="16"/>
  <c r="F600" i="16"/>
  <c r="D600" i="16"/>
  <c r="C600" i="16"/>
  <c r="B600" i="16"/>
  <c r="I599" i="16"/>
  <c r="G599" i="16"/>
  <c r="F599" i="16"/>
  <c r="D599" i="16"/>
  <c r="C599" i="16"/>
  <c r="B599" i="16"/>
  <c r="I598" i="16"/>
  <c r="G598" i="16"/>
  <c r="F598" i="16"/>
  <c r="D598" i="16"/>
  <c r="C598" i="16"/>
  <c r="B598" i="16"/>
  <c r="I597" i="16"/>
  <c r="G597" i="16"/>
  <c r="F597" i="16"/>
  <c r="D597" i="16"/>
  <c r="C597" i="16"/>
  <c r="B597" i="16"/>
  <c r="I596" i="16"/>
  <c r="G596" i="16"/>
  <c r="F596" i="16"/>
  <c r="D596" i="16"/>
  <c r="C596" i="16"/>
  <c r="B596" i="16"/>
  <c r="I595" i="16"/>
  <c r="G595" i="16"/>
  <c r="F595" i="16"/>
  <c r="D595" i="16"/>
  <c r="C595" i="16"/>
  <c r="B595" i="16"/>
  <c r="I594" i="16"/>
  <c r="G594" i="16"/>
  <c r="F594" i="16"/>
  <c r="D594" i="16"/>
  <c r="C594" i="16"/>
  <c r="B594" i="16"/>
  <c r="I593" i="16"/>
  <c r="G593" i="16"/>
  <c r="F593" i="16"/>
  <c r="D593" i="16"/>
  <c r="C593" i="16"/>
  <c r="B593" i="16"/>
  <c r="I592" i="16"/>
  <c r="G592" i="16"/>
  <c r="F592" i="16"/>
  <c r="D592" i="16"/>
  <c r="C592" i="16"/>
  <c r="B592" i="16"/>
  <c r="I591" i="16"/>
  <c r="G591" i="16"/>
  <c r="F591" i="16"/>
  <c r="D591" i="16"/>
  <c r="C591" i="16"/>
  <c r="B591" i="16"/>
  <c r="I590" i="16"/>
  <c r="G590" i="16"/>
  <c r="F590" i="16"/>
  <c r="D590" i="16"/>
  <c r="C590" i="16"/>
  <c r="B590" i="16"/>
  <c r="I589" i="16"/>
  <c r="G589" i="16"/>
  <c r="F589" i="16"/>
  <c r="D589" i="16"/>
  <c r="C589" i="16"/>
  <c r="B589" i="16"/>
  <c r="I588" i="16"/>
  <c r="G588" i="16"/>
  <c r="F588" i="16"/>
  <c r="D588" i="16"/>
  <c r="C588" i="16"/>
  <c r="B588" i="16"/>
  <c r="I587" i="16"/>
  <c r="G587" i="16"/>
  <c r="F587" i="16"/>
  <c r="D587" i="16"/>
  <c r="C587" i="16"/>
  <c r="B587" i="16"/>
  <c r="I586" i="16"/>
  <c r="G586" i="16"/>
  <c r="F586" i="16"/>
  <c r="D586" i="16"/>
  <c r="C586" i="16"/>
  <c r="B586" i="16"/>
  <c r="I585" i="16"/>
  <c r="G585" i="16"/>
  <c r="F585" i="16"/>
  <c r="D585" i="16"/>
  <c r="C585" i="16"/>
  <c r="B585" i="16"/>
  <c r="I584" i="16"/>
  <c r="G584" i="16"/>
  <c r="F584" i="16"/>
  <c r="D584" i="16"/>
  <c r="C584" i="16"/>
  <c r="B584" i="16"/>
  <c r="I583" i="16"/>
  <c r="G583" i="16"/>
  <c r="F583" i="16"/>
  <c r="D583" i="16"/>
  <c r="C583" i="16"/>
  <c r="B583" i="16"/>
  <c r="I582" i="16"/>
  <c r="G582" i="16"/>
  <c r="F582" i="16"/>
  <c r="D582" i="16"/>
  <c r="C582" i="16"/>
  <c r="B582" i="16"/>
  <c r="I581" i="16"/>
  <c r="G581" i="16"/>
  <c r="F581" i="16"/>
  <c r="D581" i="16"/>
  <c r="C581" i="16"/>
  <c r="B581" i="16"/>
  <c r="I580" i="16"/>
  <c r="G580" i="16"/>
  <c r="F580" i="16"/>
  <c r="D580" i="16"/>
  <c r="C580" i="16"/>
  <c r="B580" i="16"/>
  <c r="I579" i="16"/>
  <c r="G579" i="16"/>
  <c r="F579" i="16"/>
  <c r="D579" i="16"/>
  <c r="C579" i="16"/>
  <c r="B579" i="16"/>
  <c r="I578" i="16"/>
  <c r="G578" i="16"/>
  <c r="F578" i="16"/>
  <c r="D578" i="16"/>
  <c r="C578" i="16"/>
  <c r="B578" i="16"/>
  <c r="I577" i="16"/>
  <c r="G577" i="16"/>
  <c r="F577" i="16"/>
  <c r="D577" i="16"/>
  <c r="C577" i="16"/>
  <c r="B577" i="16"/>
  <c r="I576" i="16"/>
  <c r="G576" i="16"/>
  <c r="F576" i="16"/>
  <c r="D576" i="16"/>
  <c r="C576" i="16"/>
  <c r="B576" i="16"/>
  <c r="I575" i="16"/>
  <c r="G575" i="16"/>
  <c r="F575" i="16"/>
  <c r="D575" i="16"/>
  <c r="C575" i="16"/>
  <c r="B575" i="16"/>
  <c r="I574" i="16"/>
  <c r="G574" i="16"/>
  <c r="F574" i="16"/>
  <c r="D574" i="16"/>
  <c r="C574" i="16"/>
  <c r="B574" i="16"/>
  <c r="I573" i="16"/>
  <c r="G573" i="16"/>
  <c r="F573" i="16"/>
  <c r="D573" i="16"/>
  <c r="C573" i="16"/>
  <c r="B573" i="16"/>
  <c r="I572" i="16"/>
  <c r="G572" i="16"/>
  <c r="F572" i="16"/>
  <c r="D572" i="16"/>
  <c r="C572" i="16"/>
  <c r="B572" i="16"/>
  <c r="I571" i="16"/>
  <c r="G571" i="16"/>
  <c r="F571" i="16"/>
  <c r="D571" i="16"/>
  <c r="C571" i="16"/>
  <c r="B571" i="16"/>
  <c r="I570" i="16"/>
  <c r="G570" i="16"/>
  <c r="F570" i="16"/>
  <c r="D570" i="16"/>
  <c r="C570" i="16"/>
  <c r="B570" i="16"/>
  <c r="I569" i="16"/>
  <c r="G569" i="16"/>
  <c r="F569" i="16"/>
  <c r="D569" i="16"/>
  <c r="C569" i="16"/>
  <c r="B569" i="16"/>
  <c r="I568" i="16"/>
  <c r="G568" i="16"/>
  <c r="F568" i="16"/>
  <c r="D568" i="16"/>
  <c r="C568" i="16"/>
  <c r="B568" i="16"/>
  <c r="I567" i="16"/>
  <c r="G567" i="16"/>
  <c r="F567" i="16"/>
  <c r="D567" i="16"/>
  <c r="C567" i="16"/>
  <c r="B567" i="16"/>
  <c r="I566" i="16"/>
  <c r="G566" i="16"/>
  <c r="F566" i="16"/>
  <c r="D566" i="16"/>
  <c r="C566" i="16"/>
  <c r="B566" i="16"/>
  <c r="I565" i="16"/>
  <c r="G565" i="16"/>
  <c r="F565" i="16"/>
  <c r="D565" i="16"/>
  <c r="C565" i="16"/>
  <c r="B565" i="16"/>
  <c r="I564" i="16"/>
  <c r="G564" i="16"/>
  <c r="F564" i="16"/>
  <c r="D564" i="16"/>
  <c r="C564" i="16"/>
  <c r="B564" i="16"/>
  <c r="I563" i="16"/>
  <c r="G563" i="16"/>
  <c r="F563" i="16"/>
  <c r="D563" i="16"/>
  <c r="C563" i="16"/>
  <c r="B563" i="16"/>
  <c r="I562" i="16"/>
  <c r="G562" i="16"/>
  <c r="F562" i="16"/>
  <c r="D562" i="16"/>
  <c r="C562" i="16"/>
  <c r="B562" i="16"/>
  <c r="I561" i="16"/>
  <c r="G561" i="16"/>
  <c r="F561" i="16"/>
  <c r="D561" i="16"/>
  <c r="C561" i="16"/>
  <c r="B561" i="16"/>
  <c r="I560" i="16"/>
  <c r="G560" i="16"/>
  <c r="F560" i="16"/>
  <c r="D560" i="16"/>
  <c r="C560" i="16"/>
  <c r="B560" i="16"/>
  <c r="I559" i="16"/>
  <c r="G559" i="16"/>
  <c r="F559" i="16"/>
  <c r="D559" i="16"/>
  <c r="C559" i="16"/>
  <c r="B559" i="16"/>
  <c r="I558" i="16"/>
  <c r="G558" i="16"/>
  <c r="F558" i="16"/>
  <c r="D558" i="16"/>
  <c r="C558" i="16"/>
  <c r="B558" i="16"/>
  <c r="I557" i="16"/>
  <c r="G557" i="16"/>
  <c r="F557" i="16"/>
  <c r="D557" i="16"/>
  <c r="C557" i="16"/>
  <c r="B557" i="16"/>
  <c r="I556" i="16"/>
  <c r="G556" i="16"/>
  <c r="F556" i="16"/>
  <c r="D556" i="16"/>
  <c r="C556" i="16"/>
  <c r="B556" i="16"/>
  <c r="I555" i="16"/>
  <c r="G555" i="16"/>
  <c r="F555" i="16"/>
  <c r="D555" i="16"/>
  <c r="C555" i="16"/>
  <c r="B555" i="16"/>
  <c r="I554" i="16"/>
  <c r="G554" i="16"/>
  <c r="F554" i="16"/>
  <c r="D554" i="16"/>
  <c r="C554" i="16"/>
  <c r="B554" i="16"/>
  <c r="I553" i="16"/>
  <c r="G553" i="16"/>
  <c r="F553" i="16"/>
  <c r="D553" i="16"/>
  <c r="C553" i="16"/>
  <c r="B553" i="16"/>
  <c r="I552" i="16"/>
  <c r="G552" i="16"/>
  <c r="F552" i="16"/>
  <c r="D552" i="16"/>
  <c r="C552" i="16"/>
  <c r="B552" i="16"/>
  <c r="I551" i="16"/>
  <c r="G551" i="16"/>
  <c r="F551" i="16"/>
  <c r="D551" i="16"/>
  <c r="C551" i="16"/>
  <c r="B551" i="16"/>
  <c r="I550" i="16"/>
  <c r="G550" i="16"/>
  <c r="F550" i="16"/>
  <c r="D550" i="16"/>
  <c r="C550" i="16"/>
  <c r="B550" i="16"/>
  <c r="I549" i="16"/>
  <c r="G549" i="16"/>
  <c r="F549" i="16"/>
  <c r="D549" i="16"/>
  <c r="C549" i="16"/>
  <c r="B549" i="16"/>
  <c r="I548" i="16"/>
  <c r="G548" i="16"/>
  <c r="F548" i="16"/>
  <c r="D548" i="16"/>
  <c r="C548" i="16"/>
  <c r="B548" i="16"/>
  <c r="I547" i="16"/>
  <c r="G547" i="16"/>
  <c r="F547" i="16"/>
  <c r="D547" i="16"/>
  <c r="C547" i="16"/>
  <c r="B547" i="16"/>
  <c r="I546" i="16"/>
  <c r="G546" i="16"/>
  <c r="F546" i="16"/>
  <c r="D546" i="16"/>
  <c r="C546" i="16"/>
  <c r="B546" i="16"/>
  <c r="I545" i="16"/>
  <c r="G545" i="16"/>
  <c r="F545" i="16"/>
  <c r="D545" i="16"/>
  <c r="C545" i="16"/>
  <c r="B545" i="16"/>
  <c r="I544" i="16"/>
  <c r="G544" i="16"/>
  <c r="F544" i="16"/>
  <c r="D544" i="16"/>
  <c r="C544" i="16"/>
  <c r="B544" i="16"/>
  <c r="I543" i="16"/>
  <c r="G543" i="16"/>
  <c r="F543" i="16"/>
  <c r="D543" i="16"/>
  <c r="C543" i="16"/>
  <c r="B543" i="16"/>
  <c r="I542" i="16"/>
  <c r="G542" i="16"/>
  <c r="F542" i="16"/>
  <c r="D542" i="16"/>
  <c r="C542" i="16"/>
  <c r="B542" i="16"/>
  <c r="I541" i="16"/>
  <c r="G541" i="16"/>
  <c r="F541" i="16"/>
  <c r="D541" i="16"/>
  <c r="C541" i="16"/>
  <c r="B541" i="16"/>
  <c r="I540" i="16"/>
  <c r="G540" i="16"/>
  <c r="F540" i="16"/>
  <c r="D540" i="16"/>
  <c r="C540" i="16"/>
  <c r="B540" i="16"/>
  <c r="I539" i="16"/>
  <c r="G539" i="16"/>
  <c r="F539" i="16"/>
  <c r="D539" i="16"/>
  <c r="C539" i="16"/>
  <c r="B539" i="16"/>
  <c r="I538" i="16"/>
  <c r="G538" i="16"/>
  <c r="F538" i="16"/>
  <c r="D538" i="16"/>
  <c r="C538" i="16"/>
  <c r="B538" i="16"/>
  <c r="I537" i="16"/>
  <c r="G537" i="16"/>
  <c r="F537" i="16"/>
  <c r="D537" i="16"/>
  <c r="C537" i="16"/>
  <c r="B537" i="16"/>
  <c r="I536" i="16"/>
  <c r="G536" i="16"/>
  <c r="F536" i="16"/>
  <c r="D536" i="16"/>
  <c r="C536" i="16"/>
  <c r="B536" i="16"/>
  <c r="I535" i="16"/>
  <c r="G535" i="16"/>
  <c r="F535" i="16"/>
  <c r="D535" i="16"/>
  <c r="C535" i="16"/>
  <c r="B535" i="16"/>
  <c r="I534" i="16"/>
  <c r="G534" i="16"/>
  <c r="F534" i="16"/>
  <c r="D534" i="16"/>
  <c r="C534" i="16"/>
  <c r="B534" i="16"/>
  <c r="I533" i="16"/>
  <c r="G533" i="16"/>
  <c r="F533" i="16"/>
  <c r="D533" i="16"/>
  <c r="C533" i="16"/>
  <c r="B533" i="16"/>
  <c r="I532" i="16"/>
  <c r="G532" i="16"/>
  <c r="F532" i="16"/>
  <c r="D532" i="16"/>
  <c r="C532" i="16"/>
  <c r="B532" i="16"/>
  <c r="I531" i="16"/>
  <c r="G531" i="16"/>
  <c r="F531" i="16"/>
  <c r="D531" i="16"/>
  <c r="C531" i="16"/>
  <c r="B531" i="16"/>
  <c r="I530" i="16"/>
  <c r="G530" i="16"/>
  <c r="F530" i="16"/>
  <c r="D530" i="16"/>
  <c r="C530" i="16"/>
  <c r="B530" i="16"/>
  <c r="I529" i="16"/>
  <c r="G529" i="16"/>
  <c r="F529" i="16"/>
  <c r="D529" i="16"/>
  <c r="C529" i="16"/>
  <c r="B529" i="16"/>
  <c r="I528" i="16"/>
  <c r="G528" i="16"/>
  <c r="F528" i="16"/>
  <c r="D528" i="16"/>
  <c r="C528" i="16"/>
  <c r="B528" i="16"/>
  <c r="I527" i="16"/>
  <c r="G527" i="16"/>
  <c r="F527" i="16"/>
  <c r="D527" i="16"/>
  <c r="C527" i="16"/>
  <c r="B527" i="16"/>
  <c r="I526" i="16"/>
  <c r="G526" i="16"/>
  <c r="F526" i="16"/>
  <c r="D526" i="16"/>
  <c r="C526" i="16"/>
  <c r="B526" i="16"/>
  <c r="I525" i="16"/>
  <c r="G525" i="16"/>
  <c r="F525" i="16"/>
  <c r="D525" i="16"/>
  <c r="C525" i="16"/>
  <c r="B525" i="16"/>
  <c r="I524" i="16"/>
  <c r="G524" i="16"/>
  <c r="F524" i="16"/>
  <c r="D524" i="16"/>
  <c r="C524" i="16"/>
  <c r="B524" i="16"/>
  <c r="I523" i="16"/>
  <c r="G523" i="16"/>
  <c r="F523" i="16"/>
  <c r="D523" i="16"/>
  <c r="C523" i="16"/>
  <c r="B523" i="16"/>
  <c r="I522" i="16"/>
  <c r="G522" i="16"/>
  <c r="F522" i="16"/>
  <c r="D522" i="16"/>
  <c r="C522" i="16"/>
  <c r="B522" i="16"/>
  <c r="I521" i="16"/>
  <c r="G521" i="16"/>
  <c r="F521" i="16"/>
  <c r="D521" i="16"/>
  <c r="C521" i="16"/>
  <c r="B521" i="16"/>
  <c r="I520" i="16"/>
  <c r="G520" i="16"/>
  <c r="F520" i="16"/>
  <c r="D520" i="16"/>
  <c r="C520" i="16"/>
  <c r="B520" i="16"/>
  <c r="I519" i="16"/>
  <c r="G519" i="16"/>
  <c r="F519" i="16"/>
  <c r="D519" i="16"/>
  <c r="C519" i="16"/>
  <c r="B519" i="16"/>
  <c r="I518" i="16"/>
  <c r="G518" i="16"/>
  <c r="F518" i="16"/>
  <c r="D518" i="16"/>
  <c r="C518" i="16"/>
  <c r="B518" i="16"/>
  <c r="I517" i="16"/>
  <c r="G517" i="16"/>
  <c r="F517" i="16"/>
  <c r="D517" i="16"/>
  <c r="C517" i="16"/>
  <c r="B517" i="16"/>
  <c r="I516" i="16"/>
  <c r="G516" i="16"/>
  <c r="F516" i="16"/>
  <c r="D516" i="16"/>
  <c r="C516" i="16"/>
  <c r="B516" i="16"/>
  <c r="I515" i="16"/>
  <c r="G515" i="16"/>
  <c r="F515" i="16"/>
  <c r="D515" i="16"/>
  <c r="C515" i="16"/>
  <c r="B515" i="16"/>
  <c r="I514" i="16"/>
  <c r="G514" i="16"/>
  <c r="F514" i="16"/>
  <c r="D514" i="16"/>
  <c r="C514" i="16"/>
  <c r="B514" i="16"/>
  <c r="I513" i="16"/>
  <c r="G513" i="16"/>
  <c r="F513" i="16"/>
  <c r="D513" i="16"/>
  <c r="C513" i="16"/>
  <c r="B513" i="16"/>
  <c r="I512" i="16"/>
  <c r="G512" i="16"/>
  <c r="F512" i="16"/>
  <c r="D512" i="16"/>
  <c r="C512" i="16"/>
  <c r="B512" i="16"/>
  <c r="I511" i="16"/>
  <c r="G511" i="16"/>
  <c r="F511" i="16"/>
  <c r="D511" i="16"/>
  <c r="C511" i="16"/>
  <c r="B511" i="16"/>
  <c r="I510" i="16"/>
  <c r="G510" i="16"/>
  <c r="F510" i="16"/>
  <c r="D510" i="16"/>
  <c r="C510" i="16"/>
  <c r="B510" i="16"/>
  <c r="I509" i="16"/>
  <c r="G509" i="16"/>
  <c r="F509" i="16"/>
  <c r="D509" i="16"/>
  <c r="C509" i="16"/>
  <c r="B509" i="16"/>
  <c r="I508" i="16"/>
  <c r="G508" i="16"/>
  <c r="F508" i="16"/>
  <c r="D508" i="16"/>
  <c r="C508" i="16"/>
  <c r="B508" i="16"/>
  <c r="I507" i="16"/>
  <c r="G507" i="16"/>
  <c r="F507" i="16"/>
  <c r="D507" i="16"/>
  <c r="C507" i="16"/>
  <c r="B507" i="16"/>
  <c r="I506" i="16"/>
  <c r="G506" i="16"/>
  <c r="F506" i="16"/>
  <c r="D506" i="16"/>
  <c r="C506" i="16"/>
  <c r="B506" i="16"/>
  <c r="I505" i="16"/>
  <c r="G505" i="16"/>
  <c r="F505" i="16"/>
  <c r="D505" i="16"/>
  <c r="C505" i="16"/>
  <c r="B505" i="16"/>
  <c r="I504" i="16"/>
  <c r="G504" i="16"/>
  <c r="F504" i="16"/>
  <c r="D504" i="16"/>
  <c r="C504" i="16"/>
  <c r="B504" i="16"/>
  <c r="I503" i="16"/>
  <c r="G503" i="16"/>
  <c r="F503" i="16"/>
  <c r="D503" i="16"/>
  <c r="C503" i="16"/>
  <c r="B503" i="16"/>
  <c r="I502" i="16"/>
  <c r="G502" i="16"/>
  <c r="F502" i="16"/>
  <c r="D502" i="16"/>
  <c r="C502" i="16"/>
  <c r="B502" i="16"/>
  <c r="I501" i="16"/>
  <c r="G501" i="16"/>
  <c r="F501" i="16"/>
  <c r="D501" i="16"/>
  <c r="C501" i="16"/>
  <c r="B501" i="16"/>
  <c r="I500" i="16"/>
  <c r="G500" i="16"/>
  <c r="F500" i="16"/>
  <c r="D500" i="16"/>
  <c r="C500" i="16"/>
  <c r="B500" i="16"/>
  <c r="I499" i="16"/>
  <c r="G499" i="16"/>
  <c r="F499" i="16"/>
  <c r="D499" i="16"/>
  <c r="C499" i="16"/>
  <c r="B499" i="16"/>
  <c r="I498" i="16"/>
  <c r="G498" i="16"/>
  <c r="D498" i="16"/>
  <c r="C498" i="16"/>
  <c r="B498" i="16"/>
  <c r="I497" i="16"/>
  <c r="G497" i="16"/>
  <c r="D497" i="16"/>
  <c r="C497" i="16"/>
  <c r="B497" i="16"/>
  <c r="I496" i="16"/>
  <c r="G496" i="16"/>
  <c r="F496" i="16"/>
  <c r="D496" i="16"/>
  <c r="C496" i="16"/>
  <c r="B496" i="16"/>
  <c r="I495" i="16"/>
  <c r="G495" i="16"/>
  <c r="F495" i="16"/>
  <c r="D495" i="16"/>
  <c r="C495" i="16"/>
  <c r="B495" i="16"/>
  <c r="I494" i="16"/>
  <c r="G494" i="16"/>
  <c r="D494" i="16"/>
  <c r="C494" i="16"/>
  <c r="B494" i="16"/>
  <c r="I493" i="16"/>
  <c r="G493" i="16"/>
  <c r="D493" i="16"/>
  <c r="C493" i="16"/>
  <c r="B493" i="16"/>
  <c r="I492" i="16"/>
  <c r="G492" i="16"/>
  <c r="F492" i="16"/>
  <c r="D492" i="16"/>
  <c r="C492" i="16"/>
  <c r="B492" i="16"/>
  <c r="I491" i="16"/>
  <c r="G491" i="16"/>
  <c r="F491" i="16"/>
  <c r="D491" i="16"/>
  <c r="C491" i="16"/>
  <c r="B491" i="16"/>
  <c r="I490" i="16"/>
  <c r="G490" i="16"/>
  <c r="F490" i="16"/>
  <c r="D490" i="16"/>
  <c r="C490" i="16"/>
  <c r="B490" i="16"/>
  <c r="I489" i="16"/>
  <c r="G489" i="16"/>
  <c r="D489" i="16"/>
  <c r="C489" i="16"/>
  <c r="B489" i="16"/>
  <c r="I488" i="16"/>
  <c r="G488" i="16"/>
  <c r="F488" i="16"/>
  <c r="D488" i="16"/>
  <c r="C488" i="16"/>
  <c r="B488" i="16"/>
  <c r="I487" i="16"/>
  <c r="G487" i="16"/>
  <c r="F487" i="16"/>
  <c r="D487" i="16"/>
  <c r="C487" i="16"/>
  <c r="B487" i="16"/>
  <c r="I486" i="16"/>
  <c r="G486" i="16"/>
  <c r="F486" i="16"/>
  <c r="D486" i="16"/>
  <c r="C486" i="16"/>
  <c r="B486" i="16"/>
  <c r="I485" i="16"/>
  <c r="G485" i="16"/>
  <c r="F485" i="16"/>
  <c r="D485" i="16"/>
  <c r="C485" i="16"/>
  <c r="B485" i="16"/>
  <c r="I484" i="16"/>
  <c r="G484" i="16"/>
  <c r="F484" i="16"/>
  <c r="D484" i="16"/>
  <c r="C484" i="16"/>
  <c r="B484" i="16"/>
  <c r="I483" i="16"/>
  <c r="G483" i="16"/>
  <c r="F483" i="16"/>
  <c r="D483" i="16"/>
  <c r="C483" i="16"/>
  <c r="B483" i="16"/>
  <c r="I482" i="16"/>
  <c r="G482" i="16"/>
  <c r="D482" i="16"/>
  <c r="C482" i="16"/>
  <c r="B482" i="16"/>
  <c r="I481" i="16"/>
  <c r="G481" i="16"/>
  <c r="F481" i="16"/>
  <c r="D481" i="16"/>
  <c r="C481" i="16"/>
  <c r="B481" i="16"/>
  <c r="I480" i="16"/>
  <c r="G480" i="16"/>
  <c r="D480" i="16"/>
  <c r="C480" i="16"/>
  <c r="B480" i="16"/>
  <c r="I479" i="16"/>
  <c r="G479" i="16"/>
  <c r="F479" i="16"/>
  <c r="D479" i="16"/>
  <c r="C479" i="16"/>
  <c r="B479" i="16"/>
  <c r="I478" i="16"/>
  <c r="G478" i="16"/>
  <c r="F478" i="16"/>
  <c r="D478" i="16"/>
  <c r="C478" i="16"/>
  <c r="B478" i="16"/>
  <c r="I477" i="16"/>
  <c r="G477" i="16"/>
  <c r="F477" i="16"/>
  <c r="D477" i="16"/>
  <c r="C477" i="16"/>
  <c r="B477" i="16"/>
  <c r="I476" i="16"/>
  <c r="G476" i="16"/>
  <c r="F476" i="16"/>
  <c r="D476" i="16"/>
  <c r="C476" i="16"/>
  <c r="B476" i="16"/>
  <c r="I475" i="16"/>
  <c r="G475" i="16"/>
  <c r="F475" i="16"/>
  <c r="D475" i="16"/>
  <c r="C475" i="16"/>
  <c r="B475" i="16"/>
  <c r="I474" i="16"/>
  <c r="G474" i="16"/>
  <c r="F474" i="16"/>
  <c r="D474" i="16"/>
  <c r="C474" i="16"/>
  <c r="B474" i="16"/>
  <c r="I473" i="16"/>
  <c r="G473" i="16"/>
  <c r="F473" i="16"/>
  <c r="D473" i="16"/>
  <c r="C473" i="16"/>
  <c r="B473" i="16"/>
  <c r="I472" i="16"/>
  <c r="G472" i="16"/>
  <c r="F472" i="16"/>
  <c r="D472" i="16"/>
  <c r="C472" i="16"/>
  <c r="B472" i="16"/>
  <c r="I471" i="16"/>
  <c r="G471" i="16"/>
  <c r="F471" i="16"/>
  <c r="D471" i="16"/>
  <c r="C471" i="16"/>
  <c r="B471" i="16"/>
  <c r="I470" i="16"/>
  <c r="G470" i="16"/>
  <c r="F470" i="16"/>
  <c r="D470" i="16"/>
  <c r="C470" i="16"/>
  <c r="B470" i="16"/>
  <c r="I469" i="16"/>
  <c r="G469" i="16"/>
  <c r="F469" i="16"/>
  <c r="D469" i="16"/>
  <c r="C469" i="16"/>
  <c r="B469" i="16"/>
  <c r="I468" i="16"/>
  <c r="G468" i="16"/>
  <c r="F468" i="16"/>
  <c r="D468" i="16"/>
  <c r="C468" i="16"/>
  <c r="B468" i="16"/>
  <c r="I467" i="16"/>
  <c r="G467" i="16"/>
  <c r="F467" i="16"/>
  <c r="D467" i="16"/>
  <c r="C467" i="16"/>
  <c r="B467" i="16"/>
  <c r="I466" i="16"/>
  <c r="G466" i="16"/>
  <c r="F466" i="16"/>
  <c r="D466" i="16"/>
  <c r="C466" i="16"/>
  <c r="B466" i="16"/>
  <c r="I465" i="16"/>
  <c r="G465" i="16"/>
  <c r="F465" i="16"/>
  <c r="D465" i="16"/>
  <c r="C465" i="16"/>
  <c r="B465" i="16"/>
  <c r="I464" i="16"/>
  <c r="G464" i="16"/>
  <c r="F464" i="16"/>
  <c r="D464" i="16"/>
  <c r="C464" i="16"/>
  <c r="B464" i="16"/>
  <c r="I463" i="16"/>
  <c r="G463" i="16"/>
  <c r="F463" i="16"/>
  <c r="D463" i="16"/>
  <c r="C463" i="16"/>
  <c r="B463" i="16"/>
  <c r="I462" i="16"/>
  <c r="G462" i="16"/>
  <c r="F462" i="16"/>
  <c r="D462" i="16"/>
  <c r="C462" i="16"/>
  <c r="B462" i="16"/>
  <c r="I461" i="16"/>
  <c r="G461" i="16"/>
  <c r="F461" i="16"/>
  <c r="D461" i="16"/>
  <c r="C461" i="16"/>
  <c r="B461" i="16"/>
  <c r="I460" i="16"/>
  <c r="G460" i="16"/>
  <c r="F460" i="16"/>
  <c r="D460" i="16"/>
  <c r="C460" i="16"/>
  <c r="B460" i="16"/>
  <c r="I459" i="16"/>
  <c r="G459" i="16"/>
  <c r="F459" i="16"/>
  <c r="D459" i="16"/>
  <c r="C459" i="16"/>
  <c r="B459" i="16"/>
  <c r="I458" i="16"/>
  <c r="G458" i="16"/>
  <c r="F458" i="16"/>
  <c r="D458" i="16"/>
  <c r="C458" i="16"/>
  <c r="B458" i="16"/>
  <c r="I457" i="16"/>
  <c r="G457" i="16"/>
  <c r="F457" i="16"/>
  <c r="D457" i="16"/>
  <c r="C457" i="16"/>
  <c r="B457" i="16"/>
  <c r="I456" i="16"/>
  <c r="G456" i="16"/>
  <c r="F456" i="16"/>
  <c r="D456" i="16"/>
  <c r="C456" i="16"/>
  <c r="B456" i="16"/>
  <c r="I455" i="16"/>
  <c r="G455" i="16"/>
  <c r="F455" i="16"/>
  <c r="D455" i="16"/>
  <c r="C455" i="16"/>
  <c r="B455" i="16"/>
  <c r="I454" i="16"/>
  <c r="G454" i="16"/>
  <c r="F454" i="16"/>
  <c r="D454" i="16"/>
  <c r="C454" i="16"/>
  <c r="B454" i="16"/>
  <c r="I453" i="16"/>
  <c r="G453" i="16"/>
  <c r="F453" i="16"/>
  <c r="D453" i="16"/>
  <c r="C453" i="16"/>
  <c r="B453" i="16"/>
  <c r="I452" i="16"/>
  <c r="G452" i="16"/>
  <c r="F452" i="16"/>
  <c r="D452" i="16"/>
  <c r="C452" i="16"/>
  <c r="B452" i="16"/>
  <c r="I451" i="16"/>
  <c r="G451" i="16"/>
  <c r="F451" i="16"/>
  <c r="D451" i="16"/>
  <c r="C451" i="16"/>
  <c r="B451" i="16"/>
  <c r="I450" i="16"/>
  <c r="G450" i="16"/>
  <c r="F450" i="16"/>
  <c r="D450" i="16"/>
  <c r="C450" i="16"/>
  <c r="B450" i="16"/>
  <c r="I449" i="16"/>
  <c r="G449" i="16"/>
  <c r="D449" i="16"/>
  <c r="C449" i="16"/>
  <c r="B449" i="16"/>
  <c r="I448" i="16"/>
  <c r="G448" i="16"/>
  <c r="F448" i="16"/>
  <c r="D448" i="16"/>
  <c r="C448" i="16"/>
  <c r="B448" i="16"/>
  <c r="I447" i="16"/>
  <c r="G447" i="16"/>
  <c r="F447" i="16"/>
  <c r="D447" i="16"/>
  <c r="C447" i="16"/>
  <c r="B447" i="16"/>
  <c r="I446" i="16"/>
  <c r="G446" i="16"/>
  <c r="F446" i="16"/>
  <c r="D446" i="16"/>
  <c r="C446" i="16"/>
  <c r="B446" i="16"/>
  <c r="I445" i="16"/>
  <c r="G445" i="16"/>
  <c r="F445" i="16"/>
  <c r="D445" i="16"/>
  <c r="C445" i="16"/>
  <c r="B445" i="16"/>
  <c r="I444" i="16"/>
  <c r="G444" i="16"/>
  <c r="F444" i="16"/>
  <c r="D444" i="16"/>
  <c r="C444" i="16"/>
  <c r="B444" i="16"/>
  <c r="I443" i="16"/>
  <c r="G443" i="16"/>
  <c r="F443" i="16"/>
  <c r="D443" i="16"/>
  <c r="C443" i="16"/>
  <c r="B443" i="16"/>
  <c r="I442" i="16"/>
  <c r="G442" i="16"/>
  <c r="F442" i="16"/>
  <c r="D442" i="16"/>
  <c r="C442" i="16"/>
  <c r="B442" i="16"/>
  <c r="I441" i="16"/>
  <c r="G441" i="16"/>
  <c r="F441" i="16"/>
  <c r="D441" i="16"/>
  <c r="C441" i="16"/>
  <c r="B441" i="16"/>
  <c r="I440" i="16"/>
  <c r="G440" i="16"/>
  <c r="F440" i="16"/>
  <c r="D440" i="16"/>
  <c r="C440" i="16"/>
  <c r="B440" i="16"/>
  <c r="I439" i="16"/>
  <c r="G439" i="16"/>
  <c r="F439" i="16"/>
  <c r="D439" i="16"/>
  <c r="C439" i="16"/>
  <c r="B439" i="16"/>
  <c r="I438" i="16"/>
  <c r="G438" i="16"/>
  <c r="F438" i="16"/>
  <c r="D438" i="16"/>
  <c r="C438" i="16"/>
  <c r="B438" i="16"/>
  <c r="I437" i="16"/>
  <c r="G437" i="16"/>
  <c r="F437" i="16"/>
  <c r="D437" i="16"/>
  <c r="C437" i="16"/>
  <c r="B437" i="16"/>
  <c r="I436" i="16"/>
  <c r="G436" i="16"/>
  <c r="F436" i="16"/>
  <c r="D436" i="16"/>
  <c r="C436" i="16"/>
  <c r="B436" i="16"/>
  <c r="I435" i="16"/>
  <c r="G435" i="16"/>
  <c r="F435" i="16"/>
  <c r="D435" i="16"/>
  <c r="C435" i="16"/>
  <c r="B435" i="16"/>
  <c r="I434" i="16"/>
  <c r="G434" i="16"/>
  <c r="F434" i="16"/>
  <c r="D434" i="16"/>
  <c r="C434" i="16"/>
  <c r="B434" i="16"/>
  <c r="I433" i="16"/>
  <c r="G433" i="16"/>
  <c r="F433" i="16"/>
  <c r="D433" i="16"/>
  <c r="C433" i="16"/>
  <c r="B433" i="16"/>
  <c r="I432" i="16"/>
  <c r="G432" i="16"/>
  <c r="F432" i="16"/>
  <c r="D432" i="16"/>
  <c r="C432" i="16"/>
  <c r="B432" i="16"/>
  <c r="I431" i="16"/>
  <c r="G431" i="16"/>
  <c r="F431" i="16"/>
  <c r="D431" i="16"/>
  <c r="C431" i="16"/>
  <c r="B431" i="16"/>
  <c r="I430" i="16"/>
  <c r="G430" i="16"/>
  <c r="F430" i="16"/>
  <c r="D430" i="16"/>
  <c r="C430" i="16"/>
  <c r="B430" i="16"/>
  <c r="I429" i="16"/>
  <c r="G429" i="16"/>
  <c r="F429" i="16"/>
  <c r="D429" i="16"/>
  <c r="C429" i="16"/>
  <c r="B429" i="16"/>
  <c r="I428" i="16"/>
  <c r="G428" i="16"/>
  <c r="F428" i="16"/>
  <c r="D428" i="16"/>
  <c r="C428" i="16"/>
  <c r="B428" i="16"/>
  <c r="I427" i="16"/>
  <c r="G427" i="16"/>
  <c r="F427" i="16"/>
  <c r="D427" i="16"/>
  <c r="C427" i="16"/>
  <c r="B427" i="16"/>
  <c r="I426" i="16"/>
  <c r="G426" i="16"/>
  <c r="F426" i="16"/>
  <c r="D426" i="16"/>
  <c r="C426" i="16"/>
  <c r="B426" i="16"/>
  <c r="I425" i="16"/>
  <c r="G425" i="16"/>
  <c r="F425" i="16"/>
  <c r="D425" i="16"/>
  <c r="C425" i="16"/>
  <c r="B425" i="16"/>
  <c r="I424" i="16"/>
  <c r="G424" i="16"/>
  <c r="F424" i="16"/>
  <c r="D424" i="16"/>
  <c r="C424" i="16"/>
  <c r="B424" i="16"/>
  <c r="I423" i="16"/>
  <c r="G423" i="16"/>
  <c r="F423" i="16"/>
  <c r="D423" i="16"/>
  <c r="C423" i="16"/>
  <c r="B423" i="16"/>
  <c r="I422" i="16"/>
  <c r="G422" i="16"/>
  <c r="F422" i="16"/>
  <c r="D422" i="16"/>
  <c r="C422" i="16"/>
  <c r="B422" i="16"/>
  <c r="I421" i="16"/>
  <c r="G421" i="16"/>
  <c r="F421" i="16"/>
  <c r="D421" i="16"/>
  <c r="C421" i="16"/>
  <c r="B421" i="16"/>
  <c r="I420" i="16"/>
  <c r="G420" i="16"/>
  <c r="F420" i="16"/>
  <c r="D420" i="16"/>
  <c r="C420" i="16"/>
  <c r="B420" i="16"/>
  <c r="I419" i="16"/>
  <c r="G419" i="16"/>
  <c r="F419" i="16"/>
  <c r="D419" i="16"/>
  <c r="C419" i="16"/>
  <c r="B419" i="16"/>
  <c r="I418" i="16"/>
  <c r="G418" i="16"/>
  <c r="F418" i="16"/>
  <c r="D418" i="16"/>
  <c r="C418" i="16"/>
  <c r="B418" i="16"/>
  <c r="I417" i="16"/>
  <c r="G417" i="16"/>
  <c r="F417" i="16"/>
  <c r="D417" i="16"/>
  <c r="C417" i="16"/>
  <c r="B417" i="16"/>
  <c r="I416" i="16"/>
  <c r="G416" i="16"/>
  <c r="F416" i="16"/>
  <c r="D416" i="16"/>
  <c r="C416" i="16"/>
  <c r="B416" i="16"/>
  <c r="I415" i="16"/>
  <c r="G415" i="16"/>
  <c r="F415" i="16"/>
  <c r="D415" i="16"/>
  <c r="C415" i="16"/>
  <c r="B415" i="16"/>
  <c r="I414" i="16"/>
  <c r="G414" i="16"/>
  <c r="F414" i="16"/>
  <c r="D414" i="16"/>
  <c r="C414" i="16"/>
  <c r="B414" i="16"/>
  <c r="I413" i="16"/>
  <c r="G413" i="16"/>
  <c r="F413" i="16"/>
  <c r="D413" i="16"/>
  <c r="C413" i="16"/>
  <c r="B413" i="16"/>
  <c r="I412" i="16"/>
  <c r="G412" i="16"/>
  <c r="F412" i="16"/>
  <c r="D412" i="16"/>
  <c r="C412" i="16"/>
  <c r="B412" i="16"/>
  <c r="I411" i="16"/>
  <c r="G411" i="16"/>
  <c r="F411" i="16"/>
  <c r="D411" i="16"/>
  <c r="C411" i="16"/>
  <c r="B411" i="16"/>
  <c r="I410" i="16"/>
  <c r="G410" i="16"/>
  <c r="F410" i="16"/>
  <c r="D410" i="16"/>
  <c r="C410" i="16"/>
  <c r="B410" i="16"/>
  <c r="I409" i="16"/>
  <c r="G409" i="16"/>
  <c r="F409" i="16"/>
  <c r="D409" i="16"/>
  <c r="C409" i="16"/>
  <c r="B409" i="16"/>
  <c r="I408" i="16"/>
  <c r="G408" i="16"/>
  <c r="F408" i="16"/>
  <c r="D408" i="16"/>
  <c r="C408" i="16"/>
  <c r="B408" i="16"/>
  <c r="I407" i="16"/>
  <c r="G407" i="16"/>
  <c r="F407" i="16"/>
  <c r="D407" i="16"/>
  <c r="C407" i="16"/>
  <c r="B407" i="16"/>
  <c r="I406" i="16"/>
  <c r="G406" i="16"/>
  <c r="F406" i="16"/>
  <c r="D406" i="16"/>
  <c r="C406" i="16"/>
  <c r="B406" i="16"/>
  <c r="I405" i="16"/>
  <c r="G405" i="16"/>
  <c r="F405" i="16"/>
  <c r="D405" i="16"/>
  <c r="C405" i="16"/>
  <c r="B405" i="16"/>
  <c r="I404" i="16"/>
  <c r="G404" i="16"/>
  <c r="F404" i="16"/>
  <c r="D404" i="16"/>
  <c r="C404" i="16"/>
  <c r="B404" i="16"/>
  <c r="I403" i="16"/>
  <c r="G403" i="16"/>
  <c r="F403" i="16"/>
  <c r="D403" i="16"/>
  <c r="C403" i="16"/>
  <c r="B403" i="16"/>
  <c r="I402" i="16"/>
  <c r="G402" i="16"/>
  <c r="F402" i="16"/>
  <c r="D402" i="16"/>
  <c r="C402" i="16"/>
  <c r="B402" i="16"/>
  <c r="I401" i="16"/>
  <c r="G401" i="16"/>
  <c r="F401" i="16"/>
  <c r="D401" i="16"/>
  <c r="C401" i="16"/>
  <c r="B401" i="16"/>
  <c r="I400" i="16"/>
  <c r="G400" i="16"/>
  <c r="F400" i="16"/>
  <c r="D400" i="16"/>
  <c r="C400" i="16"/>
  <c r="B400" i="16"/>
  <c r="I399" i="16"/>
  <c r="G399" i="16"/>
  <c r="F399" i="16"/>
  <c r="D399" i="16"/>
  <c r="C399" i="16"/>
  <c r="B399" i="16"/>
  <c r="I398" i="16"/>
  <c r="G398" i="16"/>
  <c r="F398" i="16"/>
  <c r="D398" i="16"/>
  <c r="C398" i="16"/>
  <c r="B398" i="16"/>
  <c r="I397" i="16"/>
  <c r="G397" i="16"/>
  <c r="F397" i="16"/>
  <c r="D397" i="16"/>
  <c r="C397" i="16"/>
  <c r="B397" i="16"/>
  <c r="I396" i="16"/>
  <c r="G396" i="16"/>
  <c r="F396" i="16"/>
  <c r="D396" i="16"/>
  <c r="C396" i="16"/>
  <c r="B396" i="16"/>
  <c r="I395" i="16"/>
  <c r="G395" i="16"/>
  <c r="F395" i="16"/>
  <c r="D395" i="16"/>
  <c r="C395" i="16"/>
  <c r="B395" i="16"/>
  <c r="I394" i="16"/>
  <c r="G394" i="16"/>
  <c r="F394" i="16"/>
  <c r="D394" i="16"/>
  <c r="C394" i="16"/>
  <c r="B394" i="16"/>
  <c r="I393" i="16"/>
  <c r="G393" i="16"/>
  <c r="F393" i="16"/>
  <c r="D393" i="16"/>
  <c r="C393" i="16"/>
  <c r="B393" i="16"/>
  <c r="I392" i="16"/>
  <c r="G392" i="16"/>
  <c r="F392" i="16"/>
  <c r="D392" i="16"/>
  <c r="C392" i="16"/>
  <c r="B392" i="16"/>
  <c r="I391" i="16"/>
  <c r="G391" i="16"/>
  <c r="F391" i="16"/>
  <c r="D391" i="16"/>
  <c r="C391" i="16"/>
  <c r="B391" i="16"/>
  <c r="I390" i="16"/>
  <c r="G390" i="16"/>
  <c r="F390" i="16"/>
  <c r="D390" i="16"/>
  <c r="C390" i="16"/>
  <c r="B390" i="16"/>
  <c r="I389" i="16"/>
  <c r="G389" i="16"/>
  <c r="F389" i="16"/>
  <c r="D389" i="16"/>
  <c r="C389" i="16"/>
  <c r="B389" i="16"/>
  <c r="I388" i="16"/>
  <c r="G388" i="16"/>
  <c r="F388" i="16"/>
  <c r="D388" i="16"/>
  <c r="C388" i="16"/>
  <c r="B388" i="16"/>
  <c r="I387" i="16"/>
  <c r="G387" i="16"/>
  <c r="F387" i="16"/>
  <c r="D387" i="16"/>
  <c r="C387" i="16"/>
  <c r="B387" i="16"/>
  <c r="I386" i="16"/>
  <c r="G386" i="16"/>
  <c r="F386" i="16"/>
  <c r="D386" i="16"/>
  <c r="C386" i="16"/>
  <c r="B386" i="16"/>
  <c r="I385" i="16"/>
  <c r="G385" i="16"/>
  <c r="F385" i="16"/>
  <c r="D385" i="16"/>
  <c r="C385" i="16"/>
  <c r="B385" i="16"/>
  <c r="I384" i="16"/>
  <c r="G384" i="16"/>
  <c r="F384" i="16"/>
  <c r="D384" i="16"/>
  <c r="C384" i="16"/>
  <c r="B384" i="16"/>
  <c r="I383" i="16"/>
  <c r="G383" i="16"/>
  <c r="F383" i="16"/>
  <c r="D383" i="16"/>
  <c r="C383" i="16"/>
  <c r="B383" i="16"/>
  <c r="I382" i="16"/>
  <c r="G382" i="16"/>
  <c r="F382" i="16"/>
  <c r="D382" i="16"/>
  <c r="C382" i="16"/>
  <c r="B382" i="16"/>
  <c r="I381" i="16"/>
  <c r="G381" i="16"/>
  <c r="F381" i="16"/>
  <c r="D381" i="16"/>
  <c r="C381" i="16"/>
  <c r="B381" i="16"/>
  <c r="I380" i="16"/>
  <c r="G380" i="16"/>
  <c r="F380" i="16"/>
  <c r="D380" i="16"/>
  <c r="C380" i="16"/>
  <c r="B380" i="16"/>
  <c r="I379" i="16"/>
  <c r="G379" i="16"/>
  <c r="F379" i="16"/>
  <c r="D379" i="16"/>
  <c r="C379" i="16"/>
  <c r="B379" i="16"/>
  <c r="I378" i="16"/>
  <c r="G378" i="16"/>
  <c r="F378" i="16"/>
  <c r="D378" i="16"/>
  <c r="C378" i="16"/>
  <c r="B378" i="16"/>
  <c r="I377" i="16"/>
  <c r="G377" i="16"/>
  <c r="F377" i="16"/>
  <c r="D377" i="16"/>
  <c r="C377" i="16"/>
  <c r="B377" i="16"/>
  <c r="I376" i="16"/>
  <c r="G376" i="16"/>
  <c r="F376" i="16"/>
  <c r="D376" i="16"/>
  <c r="C376" i="16"/>
  <c r="B376" i="16"/>
  <c r="I375" i="16"/>
  <c r="G375" i="16"/>
  <c r="F375" i="16"/>
  <c r="D375" i="16"/>
  <c r="C375" i="16"/>
  <c r="B375" i="16"/>
  <c r="I374" i="16"/>
  <c r="G374" i="16"/>
  <c r="F374" i="16"/>
  <c r="D374" i="16"/>
  <c r="C374" i="16"/>
  <c r="B374" i="16"/>
  <c r="I373" i="16"/>
  <c r="G373" i="16"/>
  <c r="F373" i="16"/>
  <c r="D373" i="16"/>
  <c r="C373" i="16"/>
  <c r="B373" i="16"/>
  <c r="I372" i="16"/>
  <c r="G372" i="16"/>
  <c r="F372" i="16"/>
  <c r="D372" i="16"/>
  <c r="C372" i="16"/>
  <c r="B372" i="16"/>
  <c r="I371" i="16"/>
  <c r="G371" i="16"/>
  <c r="F371" i="16"/>
  <c r="D371" i="16"/>
  <c r="C371" i="16"/>
  <c r="B371" i="16"/>
  <c r="I370" i="16"/>
  <c r="G370" i="16"/>
  <c r="F370" i="16"/>
  <c r="D370" i="16"/>
  <c r="C370" i="16"/>
  <c r="B370" i="16"/>
  <c r="I369" i="16"/>
  <c r="G369" i="16"/>
  <c r="F369" i="16"/>
  <c r="D369" i="16"/>
  <c r="C369" i="16"/>
  <c r="B369" i="16"/>
  <c r="I368" i="16"/>
  <c r="G368" i="16"/>
  <c r="F368" i="16"/>
  <c r="D368" i="16"/>
  <c r="C368" i="16"/>
  <c r="B368" i="16"/>
  <c r="I367" i="16"/>
  <c r="G367" i="16"/>
  <c r="F367" i="16"/>
  <c r="D367" i="16"/>
  <c r="C367" i="16"/>
  <c r="B367" i="16"/>
  <c r="I366" i="16"/>
  <c r="G366" i="16"/>
  <c r="F366" i="16"/>
  <c r="D366" i="16"/>
  <c r="C366" i="16"/>
  <c r="B366" i="16"/>
  <c r="I365" i="16"/>
  <c r="G365" i="16"/>
  <c r="F365" i="16"/>
  <c r="D365" i="16"/>
  <c r="C365" i="16"/>
  <c r="B365" i="16"/>
  <c r="I364" i="16"/>
  <c r="G364" i="16"/>
  <c r="F364" i="16"/>
  <c r="D364" i="16"/>
  <c r="C364" i="16"/>
  <c r="B364" i="16"/>
  <c r="I363" i="16"/>
  <c r="G363" i="16"/>
  <c r="F363" i="16"/>
  <c r="D363" i="16"/>
  <c r="C363" i="16"/>
  <c r="B363" i="16"/>
  <c r="I362" i="16"/>
  <c r="G362" i="16"/>
  <c r="F362" i="16"/>
  <c r="D362" i="16"/>
  <c r="C362" i="16"/>
  <c r="B362" i="16"/>
  <c r="I361" i="16"/>
  <c r="G361" i="16"/>
  <c r="F361" i="16"/>
  <c r="D361" i="16"/>
  <c r="C361" i="16"/>
  <c r="B361" i="16"/>
  <c r="I360" i="16"/>
  <c r="G360" i="16"/>
  <c r="F360" i="16"/>
  <c r="D360" i="16"/>
  <c r="C360" i="16"/>
  <c r="B360" i="16"/>
  <c r="I359" i="16"/>
  <c r="G359" i="16"/>
  <c r="F359" i="16"/>
  <c r="D359" i="16"/>
  <c r="C359" i="16"/>
  <c r="B359" i="16"/>
  <c r="I358" i="16"/>
  <c r="G358" i="16"/>
  <c r="F358" i="16"/>
  <c r="D358" i="16"/>
  <c r="C358" i="16"/>
  <c r="B358" i="16"/>
  <c r="I357" i="16"/>
  <c r="G357" i="16"/>
  <c r="F357" i="16"/>
  <c r="D357" i="16"/>
  <c r="C357" i="16"/>
  <c r="B357" i="16"/>
  <c r="I356" i="16"/>
  <c r="G356" i="16"/>
  <c r="F356" i="16"/>
  <c r="D356" i="16"/>
  <c r="C356" i="16"/>
  <c r="B356" i="16"/>
  <c r="I355" i="16"/>
  <c r="G355" i="16"/>
  <c r="F355" i="16"/>
  <c r="D355" i="16"/>
  <c r="C355" i="16"/>
  <c r="B355" i="16"/>
  <c r="I354" i="16"/>
  <c r="G354" i="16"/>
  <c r="F354" i="16"/>
  <c r="D354" i="16"/>
  <c r="C354" i="16"/>
  <c r="B354" i="16"/>
  <c r="I353" i="16"/>
  <c r="G353" i="16"/>
  <c r="F353" i="16"/>
  <c r="D353" i="16"/>
  <c r="C353" i="16"/>
  <c r="B353" i="16"/>
  <c r="I352" i="16"/>
  <c r="G352" i="16"/>
  <c r="F352" i="16"/>
  <c r="D352" i="16"/>
  <c r="C352" i="16"/>
  <c r="B352" i="16"/>
  <c r="I351" i="16"/>
  <c r="G351" i="16"/>
  <c r="F351" i="16"/>
  <c r="D351" i="16"/>
  <c r="C351" i="16"/>
  <c r="B351" i="16"/>
  <c r="I350" i="16"/>
  <c r="G350" i="16"/>
  <c r="F350" i="16"/>
  <c r="D350" i="16"/>
  <c r="C350" i="16"/>
  <c r="B350" i="16"/>
  <c r="I349" i="16"/>
  <c r="G349" i="16"/>
  <c r="F349" i="16"/>
  <c r="D349" i="16"/>
  <c r="C349" i="16"/>
  <c r="B349" i="16"/>
  <c r="I348" i="16"/>
  <c r="G348" i="16"/>
  <c r="F348" i="16"/>
  <c r="D348" i="16"/>
  <c r="C348" i="16"/>
  <c r="B348" i="16"/>
  <c r="I347" i="16"/>
  <c r="G347" i="16"/>
  <c r="F347" i="16"/>
  <c r="D347" i="16"/>
  <c r="C347" i="16"/>
  <c r="B347" i="16"/>
  <c r="I346" i="16"/>
  <c r="G346" i="16"/>
  <c r="F346" i="16"/>
  <c r="D346" i="16"/>
  <c r="C346" i="16"/>
  <c r="B346" i="16"/>
  <c r="I345" i="16"/>
  <c r="G345" i="16"/>
  <c r="F345" i="16"/>
  <c r="D345" i="16"/>
  <c r="C345" i="16"/>
  <c r="B345" i="16"/>
  <c r="I344" i="16"/>
  <c r="G344" i="16"/>
  <c r="F344" i="16"/>
  <c r="D344" i="16"/>
  <c r="C344" i="16"/>
  <c r="B344" i="16"/>
  <c r="I343" i="16"/>
  <c r="G343" i="16"/>
  <c r="F343" i="16"/>
  <c r="D343" i="16"/>
  <c r="C343" i="16"/>
  <c r="B343" i="16"/>
  <c r="I342" i="16"/>
  <c r="G342" i="16"/>
  <c r="F342" i="16"/>
  <c r="D342" i="16"/>
  <c r="C342" i="16"/>
  <c r="B342" i="16"/>
  <c r="I341" i="16"/>
  <c r="G341" i="16"/>
  <c r="F341" i="16"/>
  <c r="D341" i="16"/>
  <c r="C341" i="16"/>
  <c r="B341" i="16"/>
  <c r="I340" i="16"/>
  <c r="G340" i="16"/>
  <c r="F340" i="16"/>
  <c r="D340" i="16"/>
  <c r="C340" i="16"/>
  <c r="B340" i="16"/>
  <c r="I339" i="16"/>
  <c r="G339" i="16"/>
  <c r="F339" i="16"/>
  <c r="D339" i="16"/>
  <c r="C339" i="16"/>
  <c r="B339" i="16"/>
  <c r="I338" i="16"/>
  <c r="G338" i="16"/>
  <c r="F338" i="16"/>
  <c r="D338" i="16"/>
  <c r="C338" i="16"/>
  <c r="B338" i="16"/>
  <c r="I337" i="16"/>
  <c r="G337" i="16"/>
  <c r="F337" i="16"/>
  <c r="D337" i="16"/>
  <c r="C337" i="16"/>
  <c r="B337" i="16"/>
  <c r="I336" i="16"/>
  <c r="G336" i="16"/>
  <c r="F336" i="16"/>
  <c r="D336" i="16"/>
  <c r="C336" i="16"/>
  <c r="B336" i="16"/>
  <c r="I335" i="16"/>
  <c r="G335" i="16"/>
  <c r="F335" i="16"/>
  <c r="D335" i="16"/>
  <c r="C335" i="16"/>
  <c r="B335" i="16"/>
  <c r="I334" i="16"/>
  <c r="G334" i="16"/>
  <c r="F334" i="16"/>
  <c r="D334" i="16"/>
  <c r="C334" i="16"/>
  <c r="B334" i="16"/>
  <c r="I333" i="16"/>
  <c r="G333" i="16"/>
  <c r="F333" i="16"/>
  <c r="D333" i="16"/>
  <c r="C333" i="16"/>
  <c r="B333" i="16"/>
  <c r="I332" i="16"/>
  <c r="G332" i="16"/>
  <c r="F332" i="16"/>
  <c r="D332" i="16"/>
  <c r="C332" i="16"/>
  <c r="B332" i="16"/>
  <c r="I331" i="16"/>
  <c r="G331" i="16"/>
  <c r="F331" i="16"/>
  <c r="D331" i="16"/>
  <c r="C331" i="16"/>
  <c r="B331" i="16"/>
  <c r="I330" i="16"/>
  <c r="G330" i="16"/>
  <c r="F330" i="16"/>
  <c r="D330" i="16"/>
  <c r="C330" i="16"/>
  <c r="B330" i="16"/>
  <c r="I329" i="16"/>
  <c r="G329" i="16"/>
  <c r="F329" i="16"/>
  <c r="D329" i="16"/>
  <c r="C329" i="16"/>
  <c r="B329" i="16"/>
  <c r="I328" i="16"/>
  <c r="G328" i="16"/>
  <c r="F328" i="16"/>
  <c r="D328" i="16"/>
  <c r="C328" i="16"/>
  <c r="B328" i="16"/>
  <c r="I327" i="16"/>
  <c r="G327" i="16"/>
  <c r="F327" i="16"/>
  <c r="D327" i="16"/>
  <c r="C327" i="16"/>
  <c r="B327" i="16"/>
  <c r="I326" i="16"/>
  <c r="G326" i="16"/>
  <c r="F326" i="16"/>
  <c r="D326" i="16"/>
  <c r="C326" i="16"/>
  <c r="B326" i="16"/>
  <c r="I325" i="16"/>
  <c r="G325" i="16"/>
  <c r="F325" i="16"/>
  <c r="D325" i="16"/>
  <c r="C325" i="16"/>
  <c r="B325" i="16"/>
  <c r="I324" i="16"/>
  <c r="G324" i="16"/>
  <c r="F324" i="16"/>
  <c r="D324" i="16"/>
  <c r="C324" i="16"/>
  <c r="B324" i="16"/>
  <c r="I323" i="16"/>
  <c r="G323" i="16"/>
  <c r="F323" i="16"/>
  <c r="D323" i="16"/>
  <c r="C323" i="16"/>
  <c r="B323" i="16"/>
  <c r="I322" i="16"/>
  <c r="G322" i="16"/>
  <c r="F322" i="16"/>
  <c r="D322" i="16"/>
  <c r="C322" i="16"/>
  <c r="B322" i="16"/>
  <c r="I321" i="16"/>
  <c r="G321" i="16"/>
  <c r="F321" i="16"/>
  <c r="D321" i="16"/>
  <c r="C321" i="16"/>
  <c r="B321" i="16"/>
  <c r="I320" i="16"/>
  <c r="G320" i="16"/>
  <c r="F320" i="16"/>
  <c r="D320" i="16"/>
  <c r="C320" i="16"/>
  <c r="B320" i="16"/>
  <c r="I319" i="16"/>
  <c r="G319" i="16"/>
  <c r="F319" i="16"/>
  <c r="D319" i="16"/>
  <c r="C319" i="16"/>
  <c r="B319" i="16"/>
  <c r="I318" i="16"/>
  <c r="G318" i="16"/>
  <c r="F318" i="16"/>
  <c r="D318" i="16"/>
  <c r="C318" i="16"/>
  <c r="B318" i="16"/>
  <c r="I317" i="16"/>
  <c r="G317" i="16"/>
  <c r="F317" i="16"/>
  <c r="D317" i="16"/>
  <c r="C317" i="16"/>
  <c r="B317" i="16"/>
  <c r="I316" i="16"/>
  <c r="G316" i="16"/>
  <c r="F316" i="16"/>
  <c r="D316" i="16"/>
  <c r="C316" i="16"/>
  <c r="B316" i="16"/>
  <c r="I315" i="16"/>
  <c r="G315" i="16"/>
  <c r="F315" i="16"/>
  <c r="D315" i="16"/>
  <c r="C315" i="16"/>
  <c r="B315" i="16"/>
  <c r="I314" i="16"/>
  <c r="G314" i="16"/>
  <c r="F314" i="16"/>
  <c r="D314" i="16"/>
  <c r="C314" i="16"/>
  <c r="B314" i="16"/>
  <c r="I313" i="16"/>
  <c r="G313" i="16"/>
  <c r="F313" i="16"/>
  <c r="D313" i="16"/>
  <c r="C313" i="16"/>
  <c r="B313" i="16"/>
  <c r="I312" i="16"/>
  <c r="G312" i="16"/>
  <c r="F312" i="16"/>
  <c r="D312" i="16"/>
  <c r="C312" i="16"/>
  <c r="B312" i="16"/>
  <c r="I311" i="16"/>
  <c r="G311" i="16"/>
  <c r="F311" i="16"/>
  <c r="D311" i="16"/>
  <c r="C311" i="16"/>
  <c r="B311" i="16"/>
  <c r="I310" i="16"/>
  <c r="G310" i="16"/>
  <c r="F310" i="16"/>
  <c r="D310" i="16"/>
  <c r="C310" i="16"/>
  <c r="B310" i="16"/>
  <c r="I309" i="16"/>
  <c r="G309" i="16"/>
  <c r="F309" i="16"/>
  <c r="D309" i="16"/>
  <c r="C309" i="16"/>
  <c r="B309" i="16"/>
  <c r="I308" i="16"/>
  <c r="G308" i="16"/>
  <c r="F308" i="16"/>
  <c r="D308" i="16"/>
  <c r="C308" i="16"/>
  <c r="B308" i="16"/>
  <c r="I307" i="16"/>
  <c r="G307" i="16"/>
  <c r="F307" i="16"/>
  <c r="D307" i="16"/>
  <c r="C307" i="16"/>
  <c r="B307" i="16"/>
  <c r="I306" i="16"/>
  <c r="G306" i="16"/>
  <c r="F306" i="16"/>
  <c r="D306" i="16"/>
  <c r="C306" i="16"/>
  <c r="B306" i="16"/>
  <c r="I305" i="16"/>
  <c r="G305" i="16"/>
  <c r="F305" i="16"/>
  <c r="D305" i="16"/>
  <c r="C305" i="16"/>
  <c r="B305" i="16"/>
  <c r="I304" i="16"/>
  <c r="G304" i="16"/>
  <c r="F304" i="16"/>
  <c r="D304" i="16"/>
  <c r="C304" i="16"/>
  <c r="B304" i="16"/>
  <c r="I303" i="16"/>
  <c r="G303" i="16"/>
  <c r="F303" i="16"/>
  <c r="D303" i="16"/>
  <c r="C303" i="16"/>
  <c r="B303" i="16"/>
  <c r="I302" i="16"/>
  <c r="G302" i="16"/>
  <c r="F302" i="16"/>
  <c r="D302" i="16"/>
  <c r="C302" i="16"/>
  <c r="B302" i="16"/>
  <c r="I301" i="16"/>
  <c r="G301" i="16"/>
  <c r="F301" i="16"/>
  <c r="D301" i="16"/>
  <c r="C301" i="16"/>
  <c r="B301" i="16"/>
  <c r="I300" i="16"/>
  <c r="G300" i="16"/>
  <c r="F300" i="16"/>
  <c r="D300" i="16"/>
  <c r="C300" i="16"/>
  <c r="B300" i="16"/>
  <c r="I299" i="16"/>
  <c r="G299" i="16"/>
  <c r="F299" i="16"/>
  <c r="D299" i="16"/>
  <c r="C299" i="16"/>
  <c r="B299" i="16"/>
  <c r="I298" i="16"/>
  <c r="G298" i="16"/>
  <c r="F298" i="16"/>
  <c r="D298" i="16"/>
  <c r="C298" i="16"/>
  <c r="B298" i="16"/>
  <c r="I297" i="16"/>
  <c r="G297" i="16"/>
  <c r="F297" i="16"/>
  <c r="D297" i="16"/>
  <c r="C297" i="16"/>
  <c r="B297" i="16"/>
  <c r="I296" i="16"/>
  <c r="G296" i="16"/>
  <c r="F296" i="16"/>
  <c r="D296" i="16"/>
  <c r="C296" i="16"/>
  <c r="B296" i="16"/>
  <c r="I295" i="16"/>
  <c r="G295" i="16"/>
  <c r="F295" i="16"/>
  <c r="D295" i="16"/>
  <c r="C295" i="16"/>
  <c r="B295" i="16"/>
  <c r="I294" i="16"/>
  <c r="G294" i="16"/>
  <c r="F294" i="16"/>
  <c r="D294" i="16"/>
  <c r="C294" i="16"/>
  <c r="B294" i="16"/>
  <c r="I293" i="16"/>
  <c r="G293" i="16"/>
  <c r="F293" i="16"/>
  <c r="D293" i="16"/>
  <c r="C293" i="16"/>
  <c r="B293" i="16"/>
  <c r="I292" i="16"/>
  <c r="G292" i="16"/>
  <c r="F292" i="16"/>
  <c r="D292" i="16"/>
  <c r="C292" i="16"/>
  <c r="B292" i="16"/>
  <c r="I291" i="16"/>
  <c r="G291" i="16"/>
  <c r="F291" i="16"/>
  <c r="D291" i="16"/>
  <c r="C291" i="16"/>
  <c r="B291" i="16"/>
  <c r="I290" i="16"/>
  <c r="G290" i="16"/>
  <c r="F290" i="16"/>
  <c r="D290" i="16"/>
  <c r="C290" i="16"/>
  <c r="B290" i="16"/>
  <c r="I289" i="16"/>
  <c r="G289" i="16"/>
  <c r="F289" i="16"/>
  <c r="D289" i="16"/>
  <c r="C289" i="16"/>
  <c r="B289" i="16"/>
  <c r="I288" i="16"/>
  <c r="G288" i="16"/>
  <c r="F288" i="16"/>
  <c r="D288" i="16"/>
  <c r="C288" i="16"/>
  <c r="B288" i="16"/>
  <c r="I287" i="16"/>
  <c r="G287" i="16"/>
  <c r="F287" i="16"/>
  <c r="D287" i="16"/>
  <c r="C287" i="16"/>
  <c r="B287" i="16"/>
  <c r="I286" i="16"/>
  <c r="G286" i="16"/>
  <c r="F286" i="16"/>
  <c r="D286" i="16"/>
  <c r="C286" i="16"/>
  <c r="B286" i="16"/>
  <c r="I285" i="16"/>
  <c r="G285" i="16"/>
  <c r="F285" i="16"/>
  <c r="D285" i="16"/>
  <c r="C285" i="16"/>
  <c r="B285" i="16"/>
  <c r="I284" i="16"/>
  <c r="G284" i="16"/>
  <c r="F284" i="16"/>
  <c r="D284" i="16"/>
  <c r="C284" i="16"/>
  <c r="B284" i="16"/>
  <c r="I283" i="16"/>
  <c r="G283" i="16"/>
  <c r="F283" i="16"/>
  <c r="D283" i="16"/>
  <c r="C283" i="16"/>
  <c r="B283" i="16"/>
  <c r="I282" i="16"/>
  <c r="G282" i="16"/>
  <c r="F282" i="16"/>
  <c r="D282" i="16"/>
  <c r="C282" i="16"/>
  <c r="B282" i="16"/>
  <c r="I281" i="16"/>
  <c r="G281" i="16"/>
  <c r="F281" i="16"/>
  <c r="D281" i="16"/>
  <c r="C281" i="16"/>
  <c r="B281" i="16"/>
  <c r="I280" i="16"/>
  <c r="G280" i="16"/>
  <c r="F280" i="16"/>
  <c r="D280" i="16"/>
  <c r="C280" i="16"/>
  <c r="B280" i="16"/>
  <c r="I279" i="16"/>
  <c r="G279" i="16"/>
  <c r="F279" i="16"/>
  <c r="D279" i="16"/>
  <c r="C279" i="16"/>
  <c r="B279" i="16"/>
  <c r="I278" i="16"/>
  <c r="G278" i="16"/>
  <c r="F278" i="16"/>
  <c r="D278" i="16"/>
  <c r="C278" i="16"/>
  <c r="B278" i="16"/>
  <c r="I277" i="16"/>
  <c r="G277" i="16"/>
  <c r="F277" i="16"/>
  <c r="D277" i="16"/>
  <c r="C277" i="16"/>
  <c r="B277" i="16"/>
  <c r="I276" i="16"/>
  <c r="G276" i="16"/>
  <c r="F276" i="16"/>
  <c r="D276" i="16"/>
  <c r="C276" i="16"/>
  <c r="B276" i="16"/>
  <c r="I275" i="16"/>
  <c r="G275" i="16"/>
  <c r="F275" i="16"/>
  <c r="D275" i="16"/>
  <c r="C275" i="16"/>
  <c r="B275" i="16"/>
  <c r="I274" i="16"/>
  <c r="G274" i="16"/>
  <c r="F274" i="16"/>
  <c r="D274" i="16"/>
  <c r="C274" i="16"/>
  <c r="B274" i="16"/>
  <c r="I273" i="16"/>
  <c r="G273" i="16"/>
  <c r="F273" i="16"/>
  <c r="D273" i="16"/>
  <c r="C273" i="16"/>
  <c r="B273" i="16"/>
  <c r="I272" i="16"/>
  <c r="G272" i="16"/>
  <c r="F272" i="16"/>
  <c r="D272" i="16"/>
  <c r="C272" i="16"/>
  <c r="B272" i="16"/>
  <c r="I271" i="16"/>
  <c r="G271" i="16"/>
  <c r="F271" i="16"/>
  <c r="D271" i="16"/>
  <c r="C271" i="16"/>
  <c r="B271" i="16"/>
  <c r="I270" i="16"/>
  <c r="G270" i="16"/>
  <c r="F270" i="16"/>
  <c r="D270" i="16"/>
  <c r="C270" i="16"/>
  <c r="B270" i="16"/>
  <c r="I269" i="16"/>
  <c r="G269" i="16"/>
  <c r="F269" i="16"/>
  <c r="D269" i="16"/>
  <c r="C269" i="16"/>
  <c r="B269" i="16"/>
  <c r="I268" i="16"/>
  <c r="G268" i="16"/>
  <c r="F268" i="16"/>
  <c r="D268" i="16"/>
  <c r="C268" i="16"/>
  <c r="B268" i="16"/>
  <c r="I267" i="16"/>
  <c r="G267" i="16"/>
  <c r="F267" i="16"/>
  <c r="D267" i="16"/>
  <c r="C267" i="16"/>
  <c r="B267" i="16"/>
  <c r="I266" i="16"/>
  <c r="G266" i="16"/>
  <c r="F266" i="16"/>
  <c r="D266" i="16"/>
  <c r="C266" i="16"/>
  <c r="B266" i="16"/>
  <c r="I265" i="16"/>
  <c r="G265" i="16"/>
  <c r="F265" i="16"/>
  <c r="D265" i="16"/>
  <c r="C265" i="16"/>
  <c r="B265" i="16"/>
  <c r="I264" i="16"/>
  <c r="G264" i="16"/>
  <c r="F264" i="16"/>
  <c r="D264" i="16"/>
  <c r="C264" i="16"/>
  <c r="B264" i="16"/>
  <c r="I263" i="16"/>
  <c r="G263" i="16"/>
  <c r="F263" i="16"/>
  <c r="D263" i="16"/>
  <c r="C263" i="16"/>
  <c r="B263" i="16"/>
  <c r="I262" i="16"/>
  <c r="G262" i="16"/>
  <c r="F262" i="16"/>
  <c r="D262" i="16"/>
  <c r="C262" i="16"/>
  <c r="B262" i="16"/>
  <c r="I261" i="16"/>
  <c r="G261" i="16"/>
  <c r="F261" i="16"/>
  <c r="D261" i="16"/>
  <c r="C261" i="16"/>
  <c r="B261" i="16"/>
  <c r="I260" i="16"/>
  <c r="G260" i="16"/>
  <c r="F260" i="16"/>
  <c r="D260" i="16"/>
  <c r="C260" i="16"/>
  <c r="B260" i="16"/>
  <c r="I259" i="16"/>
  <c r="G259" i="16"/>
  <c r="F259" i="16"/>
  <c r="D259" i="16"/>
  <c r="C259" i="16"/>
  <c r="B259" i="16"/>
  <c r="I258" i="16"/>
  <c r="G258" i="16"/>
  <c r="F258" i="16"/>
  <c r="D258" i="16"/>
  <c r="C258" i="16"/>
  <c r="B258" i="16"/>
  <c r="I257" i="16"/>
  <c r="G257" i="16"/>
  <c r="F257" i="16"/>
  <c r="D257" i="16"/>
  <c r="C257" i="16"/>
  <c r="B257" i="16"/>
  <c r="I256" i="16"/>
  <c r="G256" i="16"/>
  <c r="F256" i="16"/>
  <c r="D256" i="16"/>
  <c r="C256" i="16"/>
  <c r="B256" i="16"/>
  <c r="I255" i="16"/>
  <c r="G255" i="16"/>
  <c r="F255" i="16"/>
  <c r="D255" i="16"/>
  <c r="C255" i="16"/>
  <c r="B255" i="16"/>
  <c r="I254" i="16"/>
  <c r="G254" i="16"/>
  <c r="F254" i="16"/>
  <c r="D254" i="16"/>
  <c r="C254" i="16"/>
  <c r="B254" i="16"/>
  <c r="I253" i="16"/>
  <c r="G253" i="16"/>
  <c r="F253" i="16"/>
  <c r="D253" i="16"/>
  <c r="C253" i="16"/>
  <c r="B253" i="16"/>
  <c r="I252" i="16"/>
  <c r="G252" i="16"/>
  <c r="F252" i="16"/>
  <c r="D252" i="16"/>
  <c r="C252" i="16"/>
  <c r="B252" i="16"/>
  <c r="I251" i="16"/>
  <c r="G251" i="16"/>
  <c r="F251" i="16"/>
  <c r="D251" i="16"/>
  <c r="C251" i="16"/>
  <c r="B251" i="16"/>
  <c r="I250" i="16"/>
  <c r="G250" i="16"/>
  <c r="F250" i="16"/>
  <c r="D250" i="16"/>
  <c r="C250" i="16"/>
  <c r="B250" i="16"/>
  <c r="I249" i="16"/>
  <c r="G249" i="16"/>
  <c r="F249" i="16"/>
  <c r="D249" i="16"/>
  <c r="C249" i="16"/>
  <c r="B249" i="16"/>
  <c r="I248" i="16"/>
  <c r="G248" i="16"/>
  <c r="F248" i="16"/>
  <c r="D248" i="16"/>
  <c r="C248" i="16"/>
  <c r="B248" i="16"/>
  <c r="I247" i="16"/>
  <c r="G247" i="16"/>
  <c r="F247" i="16"/>
  <c r="D247" i="16"/>
  <c r="C247" i="16"/>
  <c r="B247" i="16"/>
  <c r="I246" i="16"/>
  <c r="G246" i="16"/>
  <c r="F246" i="16"/>
  <c r="D246" i="16"/>
  <c r="C246" i="16"/>
  <c r="B246" i="16"/>
  <c r="I245" i="16"/>
  <c r="G245" i="16"/>
  <c r="F245" i="16"/>
  <c r="D245" i="16"/>
  <c r="C245" i="16"/>
  <c r="B245" i="16"/>
  <c r="I244" i="16"/>
  <c r="G244" i="16"/>
  <c r="F244" i="16"/>
  <c r="D244" i="16"/>
  <c r="C244" i="16"/>
  <c r="B244" i="16"/>
  <c r="I243" i="16"/>
  <c r="G243" i="16"/>
  <c r="F243" i="16"/>
  <c r="D243" i="16"/>
  <c r="C243" i="16"/>
  <c r="B243" i="16"/>
  <c r="I242" i="16"/>
  <c r="G242" i="16"/>
  <c r="F242" i="16"/>
  <c r="D242" i="16"/>
  <c r="C242" i="16"/>
  <c r="B242" i="16"/>
  <c r="I241" i="16"/>
  <c r="G241" i="16"/>
  <c r="F241" i="16"/>
  <c r="D241" i="16"/>
  <c r="C241" i="16"/>
  <c r="B241" i="16"/>
  <c r="I240" i="16"/>
  <c r="G240" i="16"/>
  <c r="F240" i="16"/>
  <c r="D240" i="16"/>
  <c r="C240" i="16"/>
  <c r="B240" i="16"/>
  <c r="I239" i="16"/>
  <c r="G239" i="16"/>
  <c r="F239" i="16"/>
  <c r="D239" i="16"/>
  <c r="C239" i="16"/>
  <c r="B239" i="16"/>
  <c r="I238" i="16"/>
  <c r="G238" i="16"/>
  <c r="F238" i="16"/>
  <c r="D238" i="16"/>
  <c r="C238" i="16"/>
  <c r="B238" i="16"/>
  <c r="I237" i="16"/>
  <c r="G237" i="16"/>
  <c r="F237" i="16"/>
  <c r="D237" i="16"/>
  <c r="C237" i="16"/>
  <c r="B237" i="16"/>
  <c r="I236" i="16"/>
  <c r="G236" i="16"/>
  <c r="F236" i="16"/>
  <c r="D236" i="16"/>
  <c r="C236" i="16"/>
  <c r="B236" i="16"/>
  <c r="I235" i="16"/>
  <c r="G235" i="16"/>
  <c r="F235" i="16"/>
  <c r="D235" i="16"/>
  <c r="C235" i="16"/>
  <c r="B235" i="16"/>
  <c r="I234" i="16"/>
  <c r="G234" i="16"/>
  <c r="F234" i="16"/>
  <c r="D234" i="16"/>
  <c r="C234" i="16"/>
  <c r="B234" i="16"/>
  <c r="I233" i="16"/>
  <c r="G233" i="16"/>
  <c r="F233" i="16"/>
  <c r="D233" i="16"/>
  <c r="C233" i="16"/>
  <c r="B233" i="16"/>
  <c r="I232" i="16"/>
  <c r="G232" i="16"/>
  <c r="F232" i="16"/>
  <c r="D232" i="16"/>
  <c r="C232" i="16"/>
  <c r="B232" i="16"/>
  <c r="I231" i="16"/>
  <c r="G231" i="16"/>
  <c r="F231" i="16"/>
  <c r="D231" i="16"/>
  <c r="C231" i="16"/>
  <c r="B231" i="16"/>
  <c r="I230" i="16"/>
  <c r="G230" i="16"/>
  <c r="F230" i="16"/>
  <c r="D230" i="16"/>
  <c r="C230" i="16"/>
  <c r="B230" i="16"/>
  <c r="I229" i="16"/>
  <c r="G229" i="16"/>
  <c r="F229" i="16"/>
  <c r="D229" i="16"/>
  <c r="C229" i="16"/>
  <c r="B229" i="16"/>
  <c r="I228" i="16"/>
  <c r="G228" i="16"/>
  <c r="F228" i="16"/>
  <c r="D228" i="16"/>
  <c r="C228" i="16"/>
  <c r="B228" i="16"/>
  <c r="I227" i="16"/>
  <c r="G227" i="16"/>
  <c r="F227" i="16"/>
  <c r="D227" i="16"/>
  <c r="C227" i="16"/>
  <c r="B227" i="16"/>
  <c r="I226" i="16"/>
  <c r="G226" i="16"/>
  <c r="F226" i="16"/>
  <c r="D226" i="16"/>
  <c r="C226" i="16"/>
  <c r="B226" i="16"/>
  <c r="I225" i="16"/>
  <c r="G225" i="16"/>
  <c r="F225" i="16"/>
  <c r="D225" i="16"/>
  <c r="C225" i="16"/>
  <c r="B225" i="16"/>
  <c r="I224" i="16"/>
  <c r="G224" i="16"/>
  <c r="F224" i="16"/>
  <c r="D224" i="16"/>
  <c r="C224" i="16"/>
  <c r="B224" i="16"/>
  <c r="I223" i="16"/>
  <c r="G223" i="16"/>
  <c r="F223" i="16"/>
  <c r="D223" i="16"/>
  <c r="C223" i="16"/>
  <c r="B223" i="16"/>
  <c r="I222" i="16"/>
  <c r="G222" i="16"/>
  <c r="F222" i="16"/>
  <c r="D222" i="16"/>
  <c r="C222" i="16"/>
  <c r="B222" i="16"/>
  <c r="I221" i="16"/>
  <c r="G221" i="16"/>
  <c r="F221" i="16"/>
  <c r="D221" i="16"/>
  <c r="C221" i="16"/>
  <c r="B221" i="16"/>
  <c r="I220" i="16"/>
  <c r="G220" i="16"/>
  <c r="F220" i="16"/>
  <c r="D220" i="16"/>
  <c r="C220" i="16"/>
  <c r="B220" i="16"/>
  <c r="I219" i="16"/>
  <c r="G219" i="16"/>
  <c r="F219" i="16"/>
  <c r="D219" i="16"/>
  <c r="C219" i="16"/>
  <c r="B219" i="16"/>
  <c r="I218" i="16"/>
  <c r="G218" i="16"/>
  <c r="F218" i="16"/>
  <c r="D218" i="16"/>
  <c r="C218" i="16"/>
  <c r="B218" i="16"/>
  <c r="I217" i="16"/>
  <c r="G217" i="16"/>
  <c r="F217" i="16"/>
  <c r="D217" i="16"/>
  <c r="C217" i="16"/>
  <c r="B217" i="16"/>
  <c r="I216" i="16"/>
  <c r="G216" i="16"/>
  <c r="F216" i="16"/>
  <c r="D216" i="16"/>
  <c r="C216" i="16"/>
  <c r="B216" i="16"/>
  <c r="I215" i="16"/>
  <c r="G215" i="16"/>
  <c r="F215" i="16"/>
  <c r="D215" i="16"/>
  <c r="C215" i="16"/>
  <c r="B215" i="16"/>
  <c r="I214" i="16"/>
  <c r="G214" i="16"/>
  <c r="F214" i="16"/>
  <c r="D214" i="16"/>
  <c r="C214" i="16"/>
  <c r="B214" i="16"/>
  <c r="I213" i="16"/>
  <c r="G213" i="16"/>
  <c r="F213" i="16"/>
  <c r="D213" i="16"/>
  <c r="C213" i="16"/>
  <c r="B213" i="16"/>
  <c r="I212" i="16"/>
  <c r="G212" i="16"/>
  <c r="F212" i="16"/>
  <c r="D212" i="16"/>
  <c r="C212" i="16"/>
  <c r="B212" i="16"/>
  <c r="I211" i="16"/>
  <c r="G211" i="16"/>
  <c r="F211" i="16"/>
  <c r="D211" i="16"/>
  <c r="C211" i="16"/>
  <c r="B211" i="16"/>
  <c r="I210" i="16"/>
  <c r="G210" i="16"/>
  <c r="F210" i="16"/>
  <c r="D210" i="16"/>
  <c r="C210" i="16"/>
  <c r="B210" i="16"/>
  <c r="I209" i="16"/>
  <c r="G209" i="16"/>
  <c r="F209" i="16"/>
  <c r="D209" i="16"/>
  <c r="C209" i="16"/>
  <c r="B209" i="16"/>
  <c r="I208" i="16"/>
  <c r="G208" i="16"/>
  <c r="F208" i="16"/>
  <c r="D208" i="16"/>
  <c r="C208" i="16"/>
  <c r="B208" i="16"/>
  <c r="I207" i="16"/>
  <c r="G207" i="16"/>
  <c r="F207" i="16"/>
  <c r="D207" i="16"/>
  <c r="C207" i="16"/>
  <c r="B207" i="16"/>
  <c r="I206" i="16"/>
  <c r="G206" i="16"/>
  <c r="F206" i="16"/>
  <c r="D206" i="16"/>
  <c r="C206" i="16"/>
  <c r="B206" i="16"/>
  <c r="I205" i="16"/>
  <c r="G205" i="16"/>
  <c r="F205" i="16"/>
  <c r="D205" i="16"/>
  <c r="C205" i="16"/>
  <c r="B205" i="16"/>
  <c r="I204" i="16"/>
  <c r="G204" i="16"/>
  <c r="F204" i="16"/>
  <c r="D204" i="16"/>
  <c r="C204" i="16"/>
  <c r="B204" i="16"/>
  <c r="I203" i="16"/>
  <c r="G203" i="16"/>
  <c r="F203" i="16"/>
  <c r="D203" i="16"/>
  <c r="C203" i="16"/>
  <c r="B203" i="16"/>
  <c r="I202" i="16"/>
  <c r="G202" i="16"/>
  <c r="F202" i="16"/>
  <c r="D202" i="16"/>
  <c r="C202" i="16"/>
  <c r="B202" i="16"/>
  <c r="I201" i="16"/>
  <c r="G201" i="16"/>
  <c r="F201" i="16"/>
  <c r="D201" i="16"/>
  <c r="C201" i="16"/>
  <c r="B201" i="16"/>
  <c r="I200" i="16"/>
  <c r="G200" i="16"/>
  <c r="F200" i="16"/>
  <c r="D200" i="16"/>
  <c r="C200" i="16"/>
  <c r="B200" i="16"/>
  <c r="I199" i="16"/>
  <c r="G199" i="16"/>
  <c r="F199" i="16"/>
  <c r="D199" i="16"/>
  <c r="C199" i="16"/>
  <c r="B199" i="16"/>
  <c r="I198" i="16"/>
  <c r="G198" i="16"/>
  <c r="F198" i="16"/>
  <c r="D198" i="16"/>
  <c r="C198" i="16"/>
  <c r="B198" i="16"/>
  <c r="I197" i="16"/>
  <c r="G197" i="16"/>
  <c r="F197" i="16"/>
  <c r="D197" i="16"/>
  <c r="C197" i="16"/>
  <c r="B197" i="16"/>
  <c r="I196" i="16"/>
  <c r="G196" i="16"/>
  <c r="F196" i="16"/>
  <c r="D196" i="16"/>
  <c r="C196" i="16"/>
  <c r="B196" i="16"/>
  <c r="I195" i="16"/>
  <c r="G195" i="16"/>
  <c r="F195" i="16"/>
  <c r="D195" i="16"/>
  <c r="C195" i="16"/>
  <c r="B195" i="16"/>
  <c r="I194" i="16"/>
  <c r="G194" i="16"/>
  <c r="F194" i="16"/>
  <c r="D194" i="16"/>
  <c r="C194" i="16"/>
  <c r="B194" i="16"/>
  <c r="I193" i="16"/>
  <c r="G193" i="16"/>
  <c r="F193" i="16"/>
  <c r="D193" i="16"/>
  <c r="C193" i="16"/>
  <c r="B193" i="16"/>
  <c r="I192" i="16"/>
  <c r="G192" i="16"/>
  <c r="F192" i="16"/>
  <c r="D192" i="16"/>
  <c r="C192" i="16"/>
  <c r="B192" i="16"/>
  <c r="I191" i="16"/>
  <c r="G191" i="16"/>
  <c r="F191" i="16"/>
  <c r="D191" i="16"/>
  <c r="C191" i="16"/>
  <c r="B191" i="16"/>
  <c r="I190" i="16"/>
  <c r="G190" i="16"/>
  <c r="F190" i="16"/>
  <c r="D190" i="16"/>
  <c r="C190" i="16"/>
  <c r="B190" i="16"/>
  <c r="I189" i="16"/>
  <c r="G189" i="16"/>
  <c r="F189" i="16"/>
  <c r="D189" i="16"/>
  <c r="C189" i="16"/>
  <c r="B189" i="16"/>
  <c r="I188" i="16"/>
  <c r="G188" i="16"/>
  <c r="F188" i="16"/>
  <c r="D188" i="16"/>
  <c r="C188" i="16"/>
  <c r="B188" i="16"/>
  <c r="I187" i="16"/>
  <c r="G187" i="16"/>
  <c r="F187" i="16"/>
  <c r="D187" i="16"/>
  <c r="C187" i="16"/>
  <c r="B187" i="16"/>
  <c r="I186" i="16"/>
  <c r="G186" i="16"/>
  <c r="F186" i="16"/>
  <c r="D186" i="16"/>
  <c r="C186" i="16"/>
  <c r="B186" i="16"/>
  <c r="I185" i="16"/>
  <c r="G185" i="16"/>
  <c r="F185" i="16"/>
  <c r="D185" i="16"/>
  <c r="C185" i="16"/>
  <c r="B185" i="16"/>
  <c r="I184" i="16"/>
  <c r="G184" i="16"/>
  <c r="F184" i="16"/>
  <c r="D184" i="16"/>
  <c r="C184" i="16"/>
  <c r="B184" i="16"/>
  <c r="I183" i="16"/>
  <c r="G183" i="16"/>
  <c r="F183" i="16"/>
  <c r="D183" i="16"/>
  <c r="C183" i="16"/>
  <c r="B183" i="16"/>
  <c r="I182" i="16"/>
  <c r="G182" i="16"/>
  <c r="F182" i="16"/>
  <c r="D182" i="16"/>
  <c r="C182" i="16"/>
  <c r="B182" i="16"/>
  <c r="I181" i="16"/>
  <c r="G181" i="16"/>
  <c r="F181" i="16"/>
  <c r="D181" i="16"/>
  <c r="C181" i="16"/>
  <c r="B181" i="16"/>
  <c r="I180" i="16"/>
  <c r="G180" i="16"/>
  <c r="F180" i="16"/>
  <c r="D180" i="16"/>
  <c r="C180" i="16"/>
  <c r="B180" i="16"/>
  <c r="I179" i="16"/>
  <c r="G179" i="16"/>
  <c r="F179" i="16"/>
  <c r="D179" i="16"/>
  <c r="C179" i="16"/>
  <c r="B179" i="16"/>
  <c r="I178" i="16"/>
  <c r="G178" i="16"/>
  <c r="F178" i="16"/>
  <c r="D178" i="16"/>
  <c r="C178" i="16"/>
  <c r="B178" i="16"/>
  <c r="I177" i="16"/>
  <c r="G177" i="16"/>
  <c r="F177" i="16"/>
  <c r="D177" i="16"/>
  <c r="C177" i="16"/>
  <c r="B177" i="16"/>
  <c r="I176" i="16"/>
  <c r="G176" i="16"/>
  <c r="F176" i="16"/>
  <c r="D176" i="16"/>
  <c r="C176" i="16"/>
  <c r="B176" i="16"/>
  <c r="I175" i="16"/>
  <c r="G175" i="16"/>
  <c r="F175" i="16"/>
  <c r="D175" i="16"/>
  <c r="C175" i="16"/>
  <c r="B175" i="16"/>
  <c r="I174" i="16"/>
  <c r="G174" i="16"/>
  <c r="F174" i="16"/>
  <c r="D174" i="16"/>
  <c r="C174" i="16"/>
  <c r="B174" i="16"/>
  <c r="I173" i="16"/>
  <c r="G173" i="16"/>
  <c r="F173" i="16"/>
  <c r="D173" i="16"/>
  <c r="C173" i="16"/>
  <c r="B173" i="16"/>
  <c r="I172" i="16"/>
  <c r="G172" i="16"/>
  <c r="F172" i="16"/>
  <c r="D172" i="16"/>
  <c r="C172" i="16"/>
  <c r="B172" i="16"/>
  <c r="I171" i="16"/>
  <c r="G171" i="16"/>
  <c r="F171" i="16"/>
  <c r="D171" i="16"/>
  <c r="C171" i="16"/>
  <c r="B171" i="16"/>
  <c r="I170" i="16"/>
  <c r="G170" i="16"/>
  <c r="F170" i="16"/>
  <c r="D170" i="16"/>
  <c r="C170" i="16"/>
  <c r="B170" i="16"/>
  <c r="I169" i="16"/>
  <c r="G169" i="16"/>
  <c r="F169" i="16"/>
  <c r="D169" i="16"/>
  <c r="C169" i="16"/>
  <c r="B169" i="16"/>
  <c r="I168" i="16"/>
  <c r="G168" i="16"/>
  <c r="F168" i="16"/>
  <c r="D168" i="16"/>
  <c r="C168" i="16"/>
  <c r="B168" i="16"/>
  <c r="I167" i="16"/>
  <c r="G167" i="16"/>
  <c r="F167" i="16"/>
  <c r="D167" i="16"/>
  <c r="C167" i="16"/>
  <c r="B167" i="16"/>
  <c r="I166" i="16"/>
  <c r="G166" i="16"/>
  <c r="F166" i="16"/>
  <c r="D166" i="16"/>
  <c r="C166" i="16"/>
  <c r="B166" i="16"/>
  <c r="I165" i="16"/>
  <c r="G165" i="16"/>
  <c r="F165" i="16"/>
  <c r="D165" i="16"/>
  <c r="C165" i="16"/>
  <c r="B165" i="16"/>
  <c r="I164" i="16"/>
  <c r="G164" i="16"/>
  <c r="F164" i="16"/>
  <c r="D164" i="16"/>
  <c r="C164" i="16"/>
  <c r="B164" i="16"/>
  <c r="I163" i="16"/>
  <c r="G163" i="16"/>
  <c r="F163" i="16"/>
  <c r="D163" i="16"/>
  <c r="C163" i="16"/>
  <c r="B163" i="16"/>
  <c r="I162" i="16"/>
  <c r="G162" i="16"/>
  <c r="F162" i="16"/>
  <c r="D162" i="16"/>
  <c r="C162" i="16"/>
  <c r="B162" i="16"/>
  <c r="I161" i="16"/>
  <c r="G161" i="16"/>
  <c r="F161" i="16"/>
  <c r="D161" i="16"/>
  <c r="C161" i="16"/>
  <c r="B161" i="16"/>
  <c r="I160" i="16"/>
  <c r="G160" i="16"/>
  <c r="F160" i="16"/>
  <c r="D160" i="16"/>
  <c r="C160" i="16"/>
  <c r="B160" i="16"/>
  <c r="I159" i="16"/>
  <c r="G159" i="16"/>
  <c r="F159" i="16"/>
  <c r="D159" i="16"/>
  <c r="C159" i="16"/>
  <c r="B159" i="16"/>
  <c r="I158" i="16"/>
  <c r="G158" i="16"/>
  <c r="F158" i="16"/>
  <c r="D158" i="16"/>
  <c r="C158" i="16"/>
  <c r="B158" i="16"/>
  <c r="I157" i="16"/>
  <c r="G157" i="16"/>
  <c r="F157" i="16"/>
  <c r="D157" i="16"/>
  <c r="C157" i="16"/>
  <c r="B157" i="16"/>
  <c r="I156" i="16"/>
  <c r="G156" i="16"/>
  <c r="F156" i="16"/>
  <c r="D156" i="16"/>
  <c r="C156" i="16"/>
  <c r="B156" i="16"/>
  <c r="I155" i="16"/>
  <c r="G155" i="16"/>
  <c r="F155" i="16"/>
  <c r="D155" i="16"/>
  <c r="C155" i="16"/>
  <c r="B155" i="16"/>
  <c r="I154" i="16"/>
  <c r="G154" i="16"/>
  <c r="F154" i="16"/>
  <c r="D154" i="16"/>
  <c r="C154" i="16"/>
  <c r="B154" i="16"/>
  <c r="I153" i="16"/>
  <c r="G153" i="16"/>
  <c r="F153" i="16"/>
  <c r="D153" i="16"/>
  <c r="C153" i="16"/>
  <c r="B153" i="16"/>
  <c r="I152" i="16"/>
  <c r="G152" i="16"/>
  <c r="F152" i="16"/>
  <c r="D152" i="16"/>
  <c r="C152" i="16"/>
  <c r="B152" i="16"/>
  <c r="I151" i="16"/>
  <c r="G151" i="16"/>
  <c r="F151" i="16"/>
  <c r="D151" i="16"/>
  <c r="C151" i="16"/>
  <c r="B151" i="16"/>
  <c r="I150" i="16"/>
  <c r="G150" i="16"/>
  <c r="F150" i="16"/>
  <c r="D150" i="16"/>
  <c r="C150" i="16"/>
  <c r="B150" i="16"/>
  <c r="I149" i="16"/>
  <c r="G149" i="16"/>
  <c r="F149" i="16"/>
  <c r="D149" i="16"/>
  <c r="C149" i="16"/>
  <c r="B149" i="16"/>
  <c r="I148" i="16"/>
  <c r="G148" i="16"/>
  <c r="F148" i="16"/>
  <c r="D148" i="16"/>
  <c r="C148" i="16"/>
  <c r="B148" i="16"/>
  <c r="I147" i="16"/>
  <c r="G147" i="16"/>
  <c r="F147" i="16"/>
  <c r="D147" i="16"/>
  <c r="C147" i="16"/>
  <c r="B147" i="16"/>
  <c r="I146" i="16"/>
  <c r="G146" i="16"/>
  <c r="F146" i="16"/>
  <c r="D146" i="16"/>
  <c r="C146" i="16"/>
  <c r="B146" i="16"/>
  <c r="I145" i="16"/>
  <c r="G145" i="16"/>
  <c r="F145" i="16"/>
  <c r="D145" i="16"/>
  <c r="C145" i="16"/>
  <c r="B145" i="16"/>
  <c r="I144" i="16"/>
  <c r="G144" i="16"/>
  <c r="F144" i="16"/>
  <c r="D144" i="16"/>
  <c r="C144" i="16"/>
  <c r="B144" i="16"/>
  <c r="I143" i="16"/>
  <c r="G143" i="16"/>
  <c r="F143" i="16"/>
  <c r="D143" i="16"/>
  <c r="C143" i="16"/>
  <c r="B143" i="16"/>
  <c r="I142" i="16"/>
  <c r="G142" i="16"/>
  <c r="F142" i="16"/>
  <c r="D142" i="16"/>
  <c r="C142" i="16"/>
  <c r="B142" i="16"/>
  <c r="I141" i="16"/>
  <c r="G141" i="16"/>
  <c r="F141" i="16"/>
  <c r="D141" i="16"/>
  <c r="C141" i="16"/>
  <c r="B141" i="16"/>
  <c r="I140" i="16"/>
  <c r="G140" i="16"/>
  <c r="F140" i="16"/>
  <c r="D140" i="16"/>
  <c r="C140" i="16"/>
  <c r="B140" i="16"/>
  <c r="I139" i="16"/>
  <c r="G139" i="16"/>
  <c r="F139" i="16"/>
  <c r="D139" i="16"/>
  <c r="C139" i="16"/>
  <c r="B139" i="16"/>
  <c r="I138" i="16"/>
  <c r="G138" i="16"/>
  <c r="F138" i="16"/>
  <c r="D138" i="16"/>
  <c r="C138" i="16"/>
  <c r="B138" i="16"/>
  <c r="I137" i="16"/>
  <c r="G137" i="16"/>
  <c r="F137" i="16"/>
  <c r="D137" i="16"/>
  <c r="C137" i="16"/>
  <c r="B137" i="16"/>
  <c r="I136" i="16"/>
  <c r="G136" i="16"/>
  <c r="F136" i="16"/>
  <c r="D136" i="16"/>
  <c r="C136" i="16"/>
  <c r="B136" i="16"/>
  <c r="I135" i="16"/>
  <c r="G135" i="16"/>
  <c r="F135" i="16"/>
  <c r="D135" i="16"/>
  <c r="C135" i="16"/>
  <c r="B135" i="16"/>
  <c r="I134" i="16"/>
  <c r="G134" i="16"/>
  <c r="F134" i="16"/>
  <c r="D134" i="16"/>
  <c r="C134" i="16"/>
  <c r="B134" i="16"/>
  <c r="I133" i="16"/>
  <c r="G133" i="16"/>
  <c r="F133" i="16"/>
  <c r="D133" i="16"/>
  <c r="C133" i="16"/>
  <c r="B133" i="16"/>
  <c r="I132" i="16"/>
  <c r="G132" i="16"/>
  <c r="F132" i="16"/>
  <c r="D132" i="16"/>
  <c r="C132" i="16"/>
  <c r="B132" i="16"/>
  <c r="I131" i="16"/>
  <c r="G131" i="16"/>
  <c r="F131" i="16"/>
  <c r="D131" i="16"/>
  <c r="C131" i="16"/>
  <c r="B131" i="16"/>
  <c r="I130" i="16"/>
  <c r="G130" i="16"/>
  <c r="F130" i="16"/>
  <c r="D130" i="16"/>
  <c r="C130" i="16"/>
  <c r="B130" i="16"/>
  <c r="I129" i="16"/>
  <c r="G129" i="16"/>
  <c r="F129" i="16"/>
  <c r="D129" i="16"/>
  <c r="C129" i="16"/>
  <c r="B129" i="16"/>
  <c r="I128" i="16"/>
  <c r="G128" i="16"/>
  <c r="F128" i="16"/>
  <c r="D128" i="16"/>
  <c r="C128" i="16"/>
  <c r="B128" i="16"/>
  <c r="I127" i="16"/>
  <c r="G127" i="16"/>
  <c r="F127" i="16"/>
  <c r="D127" i="16"/>
  <c r="C127" i="16"/>
  <c r="B127" i="16"/>
  <c r="I126" i="16"/>
  <c r="G126" i="16"/>
  <c r="F126" i="16"/>
  <c r="D126" i="16"/>
  <c r="C126" i="16"/>
  <c r="B126" i="16"/>
  <c r="I125" i="16"/>
  <c r="G125" i="16"/>
  <c r="F125" i="16"/>
  <c r="D125" i="16"/>
  <c r="C125" i="16"/>
  <c r="B125" i="16"/>
  <c r="I124" i="16"/>
  <c r="G124" i="16"/>
  <c r="F124" i="16"/>
  <c r="D124" i="16"/>
  <c r="C124" i="16"/>
  <c r="B124" i="16"/>
  <c r="I123" i="16"/>
  <c r="G123" i="16"/>
  <c r="F123" i="16"/>
  <c r="D123" i="16"/>
  <c r="C123" i="16"/>
  <c r="B123" i="16"/>
  <c r="I122" i="16"/>
  <c r="G122" i="16"/>
  <c r="F122" i="16"/>
  <c r="D122" i="16"/>
  <c r="C122" i="16"/>
  <c r="B122" i="16"/>
  <c r="I121" i="16"/>
  <c r="G121" i="16"/>
  <c r="F121" i="16"/>
  <c r="D121" i="16"/>
  <c r="C121" i="16"/>
  <c r="B121" i="16"/>
  <c r="I120" i="16"/>
  <c r="G120" i="16"/>
  <c r="F120" i="16"/>
  <c r="D120" i="16"/>
  <c r="C120" i="16"/>
  <c r="B120" i="16"/>
  <c r="I119" i="16"/>
  <c r="G119" i="16"/>
  <c r="F119" i="16"/>
  <c r="D119" i="16"/>
  <c r="C119" i="16"/>
  <c r="B119" i="16"/>
  <c r="I118" i="16"/>
  <c r="G118" i="16"/>
  <c r="F118" i="16"/>
  <c r="D118" i="16"/>
  <c r="C118" i="16"/>
  <c r="B118" i="16"/>
  <c r="I117" i="16"/>
  <c r="G117" i="16"/>
  <c r="F117" i="16"/>
  <c r="D117" i="16"/>
  <c r="C117" i="16"/>
  <c r="B117" i="16"/>
  <c r="I116" i="16"/>
  <c r="G116" i="16"/>
  <c r="F116" i="16"/>
  <c r="D116" i="16"/>
  <c r="C116" i="16"/>
  <c r="B116" i="16"/>
  <c r="I115" i="16"/>
  <c r="G115" i="16"/>
  <c r="F115" i="16"/>
  <c r="D115" i="16"/>
  <c r="C115" i="16"/>
  <c r="B115" i="16"/>
  <c r="I114" i="16"/>
  <c r="G114" i="16"/>
  <c r="F114" i="16"/>
  <c r="D114" i="16"/>
  <c r="C114" i="16"/>
  <c r="B114" i="16"/>
  <c r="I113" i="16"/>
  <c r="G113" i="16"/>
  <c r="F113" i="16"/>
  <c r="D113" i="16"/>
  <c r="C113" i="16"/>
  <c r="B113" i="16"/>
  <c r="I112" i="16"/>
  <c r="G112" i="16"/>
  <c r="F112" i="16"/>
  <c r="D112" i="16"/>
  <c r="C112" i="16"/>
  <c r="B112" i="16"/>
  <c r="I111" i="16"/>
  <c r="G111" i="16"/>
  <c r="F111" i="16"/>
  <c r="D111" i="16"/>
  <c r="C111" i="16"/>
  <c r="B111" i="16"/>
  <c r="I110" i="16"/>
  <c r="G110" i="16"/>
  <c r="F110" i="16"/>
  <c r="D110" i="16"/>
  <c r="C110" i="16"/>
  <c r="B110" i="16"/>
  <c r="I109" i="16"/>
  <c r="G109" i="16"/>
  <c r="F109" i="16"/>
  <c r="D109" i="16"/>
  <c r="C109" i="16"/>
  <c r="B109" i="16"/>
  <c r="I108" i="16"/>
  <c r="G108" i="16"/>
  <c r="F108" i="16"/>
  <c r="D108" i="16"/>
  <c r="C108" i="16"/>
  <c r="B108" i="16"/>
  <c r="I107" i="16"/>
  <c r="G107" i="16"/>
  <c r="F107" i="16"/>
  <c r="D107" i="16"/>
  <c r="C107" i="16"/>
  <c r="B107" i="16"/>
  <c r="I106" i="16"/>
  <c r="G106" i="16"/>
  <c r="F106" i="16"/>
  <c r="D106" i="16"/>
  <c r="C106" i="16"/>
  <c r="B106" i="16"/>
  <c r="I105" i="16"/>
  <c r="G105" i="16"/>
  <c r="F105" i="16"/>
  <c r="D105" i="16"/>
  <c r="C105" i="16"/>
  <c r="B105" i="16"/>
  <c r="I104" i="16"/>
  <c r="G104" i="16"/>
  <c r="F104" i="16"/>
  <c r="D104" i="16"/>
  <c r="C104" i="16"/>
  <c r="B104" i="16"/>
  <c r="I103" i="16"/>
  <c r="G103" i="16"/>
  <c r="F103" i="16"/>
  <c r="D103" i="16"/>
  <c r="C103" i="16"/>
  <c r="B103" i="16"/>
  <c r="I102" i="16"/>
  <c r="G102" i="16"/>
  <c r="F102" i="16"/>
  <c r="D102" i="16"/>
  <c r="C102" i="16"/>
  <c r="B102" i="16"/>
  <c r="I101" i="16"/>
  <c r="G101" i="16"/>
  <c r="F101" i="16"/>
  <c r="D101" i="16"/>
  <c r="C101" i="16"/>
  <c r="B101" i="16"/>
  <c r="I100" i="16"/>
  <c r="G100" i="16"/>
  <c r="F100" i="16"/>
  <c r="D100" i="16"/>
  <c r="C100" i="16"/>
  <c r="B100" i="16"/>
  <c r="I99" i="16"/>
  <c r="G99" i="16"/>
  <c r="F99" i="16"/>
  <c r="D99" i="16"/>
  <c r="C99" i="16"/>
  <c r="B99" i="16"/>
  <c r="I98" i="16"/>
  <c r="G98" i="16"/>
  <c r="F98" i="16"/>
  <c r="D98" i="16"/>
  <c r="C98" i="16"/>
  <c r="B98" i="16"/>
  <c r="I97" i="16"/>
  <c r="G97" i="16"/>
  <c r="F97" i="16"/>
  <c r="D97" i="16"/>
  <c r="C97" i="16"/>
  <c r="B97" i="16"/>
  <c r="I96" i="16"/>
  <c r="G96" i="16"/>
  <c r="F96" i="16"/>
  <c r="D96" i="16"/>
  <c r="C96" i="16"/>
  <c r="B96" i="16"/>
  <c r="I95" i="16"/>
  <c r="G95" i="16"/>
  <c r="F95" i="16"/>
  <c r="D95" i="16"/>
  <c r="C95" i="16"/>
  <c r="B95" i="16"/>
  <c r="I94" i="16"/>
  <c r="G94" i="16"/>
  <c r="F94" i="16"/>
  <c r="D94" i="16"/>
  <c r="C94" i="16"/>
  <c r="B94" i="16"/>
  <c r="I93" i="16"/>
  <c r="G93" i="16"/>
  <c r="F93" i="16"/>
  <c r="D93" i="16"/>
  <c r="C93" i="16"/>
  <c r="B93" i="16"/>
  <c r="I92" i="16"/>
  <c r="G92" i="16"/>
  <c r="F92" i="16"/>
  <c r="D92" i="16"/>
  <c r="C92" i="16"/>
  <c r="B92" i="16"/>
  <c r="I91" i="16"/>
  <c r="G91" i="16"/>
  <c r="F91" i="16"/>
  <c r="D91" i="16"/>
  <c r="C91" i="16"/>
  <c r="B91" i="16"/>
  <c r="I90" i="16"/>
  <c r="G90" i="16"/>
  <c r="F90" i="16"/>
  <c r="D90" i="16"/>
  <c r="C90" i="16"/>
  <c r="B90" i="16"/>
  <c r="I89" i="16"/>
  <c r="G89" i="16"/>
  <c r="F89" i="16"/>
  <c r="D89" i="16"/>
  <c r="C89" i="16"/>
  <c r="B89" i="16"/>
  <c r="I88" i="16"/>
  <c r="G88" i="16"/>
  <c r="F88" i="16"/>
  <c r="D88" i="16"/>
  <c r="C88" i="16"/>
  <c r="B88" i="16"/>
  <c r="I87" i="16"/>
  <c r="G87" i="16"/>
  <c r="F87" i="16"/>
  <c r="D87" i="16"/>
  <c r="C87" i="16"/>
  <c r="B87" i="16"/>
  <c r="I86" i="16"/>
  <c r="G86" i="16"/>
  <c r="F86" i="16"/>
  <c r="D86" i="16"/>
  <c r="C86" i="16"/>
  <c r="B86" i="16"/>
  <c r="I85" i="16"/>
  <c r="G85" i="16"/>
  <c r="F85" i="16"/>
  <c r="D85" i="16"/>
  <c r="C85" i="16"/>
  <c r="B85" i="16"/>
  <c r="I84" i="16"/>
  <c r="G84" i="16"/>
  <c r="F84" i="16"/>
  <c r="D84" i="16"/>
  <c r="C84" i="16"/>
  <c r="B84" i="16"/>
  <c r="I83" i="16"/>
  <c r="G83" i="16"/>
  <c r="F83" i="16"/>
  <c r="D83" i="16"/>
  <c r="C83" i="16"/>
  <c r="B83" i="16"/>
  <c r="I82" i="16"/>
  <c r="G82" i="16"/>
  <c r="F82" i="16"/>
  <c r="D82" i="16"/>
  <c r="C82" i="16"/>
  <c r="B82" i="16"/>
  <c r="I81" i="16"/>
  <c r="G81" i="16"/>
  <c r="F81" i="16"/>
  <c r="D81" i="16"/>
  <c r="C81" i="16"/>
  <c r="B81" i="16"/>
  <c r="I80" i="16"/>
  <c r="G80" i="16"/>
  <c r="F80" i="16"/>
  <c r="D80" i="16"/>
  <c r="C80" i="16"/>
  <c r="B80" i="16"/>
  <c r="I79" i="16"/>
  <c r="G79" i="16"/>
  <c r="F79" i="16"/>
  <c r="D79" i="16"/>
  <c r="C79" i="16"/>
  <c r="B79" i="16"/>
  <c r="I78" i="16"/>
  <c r="G78" i="16"/>
  <c r="F78" i="16"/>
  <c r="D78" i="16"/>
  <c r="C78" i="16"/>
  <c r="B78" i="16"/>
  <c r="I77" i="16"/>
  <c r="G77" i="16"/>
  <c r="F77" i="16"/>
  <c r="D77" i="16"/>
  <c r="C77" i="16"/>
  <c r="B77" i="16"/>
  <c r="I76" i="16"/>
  <c r="G76" i="16"/>
  <c r="F76" i="16"/>
  <c r="D76" i="16"/>
  <c r="C76" i="16"/>
  <c r="B76" i="16"/>
  <c r="I75" i="16"/>
  <c r="G75" i="16"/>
  <c r="F75" i="16"/>
  <c r="D75" i="16"/>
  <c r="C75" i="16"/>
  <c r="B75" i="16"/>
  <c r="I74" i="16"/>
  <c r="G74" i="16"/>
  <c r="F74" i="16"/>
  <c r="D74" i="16"/>
  <c r="C74" i="16"/>
  <c r="B74" i="16"/>
  <c r="I73" i="16"/>
  <c r="G73" i="16"/>
  <c r="F73" i="16"/>
  <c r="D73" i="16"/>
  <c r="C73" i="16"/>
  <c r="B73" i="16"/>
  <c r="I72" i="16"/>
  <c r="G72" i="16"/>
  <c r="F72" i="16"/>
  <c r="D72" i="16"/>
  <c r="C72" i="16"/>
  <c r="B72" i="16"/>
  <c r="I71" i="16"/>
  <c r="G71" i="16"/>
  <c r="F71" i="16"/>
  <c r="D71" i="16"/>
  <c r="C71" i="16"/>
  <c r="B71" i="16"/>
  <c r="I70" i="16"/>
  <c r="G70" i="16"/>
  <c r="F70" i="16"/>
  <c r="D70" i="16"/>
  <c r="C70" i="16"/>
  <c r="B70" i="16"/>
  <c r="I69" i="16"/>
  <c r="G69" i="16"/>
  <c r="F69" i="16"/>
  <c r="D69" i="16"/>
  <c r="C69" i="16"/>
  <c r="B69" i="16"/>
  <c r="I68" i="16"/>
  <c r="G68" i="16"/>
  <c r="F68" i="16"/>
  <c r="D68" i="16"/>
  <c r="C68" i="16"/>
  <c r="B68" i="16"/>
  <c r="I67" i="16"/>
  <c r="G67" i="16"/>
  <c r="F67" i="16"/>
  <c r="D67" i="16"/>
  <c r="C67" i="16"/>
  <c r="B67" i="16"/>
  <c r="I66" i="16"/>
  <c r="G66" i="16"/>
  <c r="F66" i="16"/>
  <c r="D66" i="16"/>
  <c r="C66" i="16"/>
  <c r="B66" i="16"/>
  <c r="I65" i="16"/>
  <c r="G65" i="16"/>
  <c r="F65" i="16"/>
  <c r="D65" i="16"/>
  <c r="C65" i="16"/>
  <c r="B65" i="16"/>
  <c r="I64" i="16"/>
  <c r="G64" i="16"/>
  <c r="F64" i="16"/>
  <c r="D64" i="16"/>
  <c r="C64" i="16"/>
  <c r="B64" i="16"/>
  <c r="I63" i="16"/>
  <c r="G63" i="16"/>
  <c r="F63" i="16"/>
  <c r="D63" i="16"/>
  <c r="C63" i="16"/>
  <c r="B63" i="16"/>
  <c r="I62" i="16"/>
  <c r="G62" i="16"/>
  <c r="F62" i="16"/>
  <c r="D62" i="16"/>
  <c r="C62" i="16"/>
  <c r="B62" i="16"/>
  <c r="I61" i="16"/>
  <c r="G61" i="16"/>
  <c r="F61" i="16"/>
  <c r="D61" i="16"/>
  <c r="C61" i="16"/>
  <c r="B61" i="16"/>
  <c r="I60" i="16"/>
  <c r="G60" i="16"/>
  <c r="F60" i="16"/>
  <c r="D60" i="16"/>
  <c r="C60" i="16"/>
  <c r="B60" i="16"/>
  <c r="I59" i="16"/>
  <c r="G59" i="16"/>
  <c r="F59" i="16"/>
  <c r="D59" i="16"/>
  <c r="C59" i="16"/>
  <c r="B59" i="16"/>
  <c r="I58" i="16"/>
  <c r="G58" i="16"/>
  <c r="F58" i="16"/>
  <c r="D58" i="16"/>
  <c r="C58" i="16"/>
  <c r="B58" i="16"/>
  <c r="I57" i="16"/>
  <c r="G57" i="16"/>
  <c r="F57" i="16"/>
  <c r="D57" i="16"/>
  <c r="C57" i="16"/>
  <c r="B57" i="16"/>
  <c r="I56" i="16"/>
  <c r="G56" i="16"/>
  <c r="F56" i="16"/>
  <c r="D56" i="16"/>
  <c r="C56" i="16"/>
  <c r="B56" i="16"/>
  <c r="I55" i="16"/>
  <c r="G55" i="16"/>
  <c r="F55" i="16"/>
  <c r="D55" i="16"/>
  <c r="C55" i="16"/>
  <c r="B55" i="16"/>
  <c r="I54" i="16"/>
  <c r="G54" i="16"/>
  <c r="F54" i="16"/>
  <c r="D54" i="16"/>
  <c r="C54" i="16"/>
  <c r="B54" i="16"/>
  <c r="I53" i="16"/>
  <c r="G53" i="16"/>
  <c r="F53" i="16"/>
  <c r="D53" i="16"/>
  <c r="C53" i="16"/>
  <c r="B53" i="16"/>
  <c r="I52" i="16"/>
  <c r="G52" i="16"/>
  <c r="F52" i="16"/>
  <c r="D52" i="16"/>
  <c r="C52" i="16"/>
  <c r="B52" i="16"/>
  <c r="I51" i="16"/>
  <c r="G51" i="16"/>
  <c r="F51" i="16"/>
  <c r="D51" i="16"/>
  <c r="C51" i="16"/>
  <c r="B51" i="16"/>
  <c r="I50" i="16"/>
  <c r="G50" i="16"/>
  <c r="F50" i="16"/>
  <c r="D50" i="16"/>
  <c r="C50" i="16"/>
  <c r="B50" i="16"/>
  <c r="I49" i="16"/>
  <c r="G49" i="16"/>
  <c r="F49" i="16"/>
  <c r="D49" i="16"/>
  <c r="C49" i="16"/>
  <c r="B49" i="16"/>
  <c r="I48" i="16"/>
  <c r="G48" i="16"/>
  <c r="F48" i="16"/>
  <c r="D48" i="16"/>
  <c r="C48" i="16"/>
  <c r="B48" i="16"/>
  <c r="I47" i="16"/>
  <c r="G47" i="16"/>
  <c r="F47" i="16"/>
  <c r="D47" i="16"/>
  <c r="C47" i="16"/>
  <c r="B47" i="16"/>
  <c r="I46" i="16"/>
  <c r="G46" i="16"/>
  <c r="F46" i="16"/>
  <c r="D46" i="16"/>
  <c r="C46" i="16"/>
  <c r="B46" i="16"/>
  <c r="I45" i="16"/>
  <c r="G45" i="16"/>
  <c r="F45" i="16"/>
  <c r="D45" i="16"/>
  <c r="C45" i="16"/>
  <c r="B45" i="16"/>
  <c r="I44" i="16"/>
  <c r="G44" i="16"/>
  <c r="F44" i="16"/>
  <c r="D44" i="16"/>
  <c r="C44" i="16"/>
  <c r="B44" i="16"/>
  <c r="I43" i="16"/>
  <c r="G43" i="16"/>
  <c r="F43" i="16"/>
  <c r="D43" i="16"/>
  <c r="C43" i="16"/>
  <c r="B43" i="16"/>
  <c r="I42" i="16"/>
  <c r="G42" i="16"/>
  <c r="F42" i="16"/>
  <c r="D42" i="16"/>
  <c r="C42" i="16"/>
  <c r="B42" i="16"/>
  <c r="I41" i="16"/>
  <c r="G41" i="16"/>
  <c r="F41" i="16"/>
  <c r="D41" i="16"/>
  <c r="C41" i="16"/>
  <c r="B41" i="16"/>
  <c r="I40" i="16"/>
  <c r="G40" i="16"/>
  <c r="F40" i="16"/>
  <c r="D40" i="16"/>
  <c r="C40" i="16"/>
  <c r="B40" i="16"/>
  <c r="I39" i="16"/>
  <c r="G39" i="16"/>
  <c r="F39" i="16"/>
  <c r="D39" i="16"/>
  <c r="C39" i="16"/>
  <c r="B39" i="16"/>
  <c r="I38" i="16"/>
  <c r="G38" i="16"/>
  <c r="F38" i="16"/>
  <c r="D38" i="16"/>
  <c r="C38" i="16"/>
  <c r="B38" i="16"/>
  <c r="I37" i="16"/>
  <c r="G37" i="16"/>
  <c r="F37" i="16"/>
  <c r="D37" i="16"/>
  <c r="C37" i="16"/>
  <c r="B37" i="16"/>
  <c r="I36" i="16"/>
  <c r="G36" i="16"/>
  <c r="F36" i="16"/>
  <c r="D36" i="16"/>
  <c r="C36" i="16"/>
  <c r="B36" i="16"/>
  <c r="I35" i="16"/>
  <c r="G35" i="16"/>
  <c r="F35" i="16"/>
  <c r="D35" i="16"/>
  <c r="C35" i="16"/>
  <c r="B35" i="16"/>
  <c r="I34" i="16"/>
  <c r="G34" i="16"/>
  <c r="F34" i="16"/>
  <c r="D34" i="16"/>
  <c r="C34" i="16"/>
  <c r="B34" i="16"/>
  <c r="I33" i="16"/>
  <c r="G33" i="16"/>
  <c r="F33" i="16"/>
  <c r="D33" i="16"/>
  <c r="C33" i="16"/>
  <c r="B33" i="16"/>
  <c r="I32" i="16"/>
  <c r="G32" i="16"/>
  <c r="F32" i="16"/>
  <c r="D32" i="16"/>
  <c r="C32" i="16"/>
  <c r="B32" i="16"/>
  <c r="I31" i="16"/>
  <c r="G31" i="16"/>
  <c r="F31" i="16"/>
  <c r="D31" i="16"/>
  <c r="C31" i="16"/>
  <c r="B31" i="16"/>
  <c r="I30" i="16"/>
  <c r="G30" i="16"/>
  <c r="F30" i="16"/>
  <c r="D30" i="16"/>
  <c r="C30" i="16"/>
  <c r="B30" i="16"/>
  <c r="I29" i="16"/>
  <c r="G29" i="16"/>
  <c r="F29" i="16"/>
  <c r="D29" i="16"/>
  <c r="C29" i="16"/>
  <c r="B29" i="16"/>
  <c r="I28" i="16"/>
  <c r="G28" i="16"/>
  <c r="F28" i="16"/>
  <c r="D28" i="16"/>
  <c r="C28" i="16"/>
  <c r="B28" i="16"/>
  <c r="I27" i="16"/>
  <c r="G27" i="16"/>
  <c r="F27" i="16"/>
  <c r="D27" i="16"/>
  <c r="C27" i="16"/>
  <c r="B27" i="16"/>
  <c r="I26" i="16"/>
  <c r="G26" i="16"/>
  <c r="F26" i="16"/>
  <c r="D26" i="16"/>
  <c r="C26" i="16"/>
  <c r="B26" i="16"/>
  <c r="I25" i="16"/>
  <c r="G25" i="16"/>
  <c r="F25" i="16"/>
  <c r="D25" i="16"/>
  <c r="C25" i="16"/>
  <c r="B25" i="16"/>
  <c r="I24" i="16"/>
  <c r="G24" i="16"/>
  <c r="F24" i="16"/>
  <c r="D24" i="16"/>
  <c r="C24" i="16"/>
  <c r="B24" i="16"/>
  <c r="I23" i="16"/>
  <c r="G23" i="16"/>
  <c r="F23" i="16"/>
  <c r="D23" i="16"/>
  <c r="C23" i="16"/>
  <c r="B23" i="16"/>
  <c r="I22" i="16"/>
  <c r="G22" i="16"/>
  <c r="F22" i="16"/>
  <c r="D22" i="16"/>
  <c r="C22" i="16"/>
  <c r="B22" i="16"/>
  <c r="I21" i="16"/>
  <c r="G21" i="16"/>
  <c r="F21" i="16"/>
  <c r="D21" i="16"/>
  <c r="C21" i="16"/>
  <c r="B21" i="16"/>
  <c r="I20" i="16"/>
  <c r="G20" i="16"/>
  <c r="F20" i="16"/>
  <c r="D20" i="16"/>
  <c r="C20" i="16"/>
  <c r="B20" i="16"/>
  <c r="I19" i="16"/>
  <c r="G19" i="16"/>
  <c r="F19" i="16"/>
  <c r="D19" i="16"/>
  <c r="C19" i="16"/>
  <c r="B19" i="16"/>
  <c r="I18" i="16"/>
  <c r="G18" i="16"/>
  <c r="F18" i="16"/>
  <c r="D18" i="16"/>
  <c r="C18" i="16"/>
  <c r="B18" i="16"/>
  <c r="I17" i="16"/>
  <c r="G17" i="16"/>
  <c r="F17" i="16"/>
  <c r="D17" i="16"/>
  <c r="C17" i="16"/>
  <c r="B17" i="16"/>
  <c r="I16" i="16"/>
  <c r="G16" i="16"/>
  <c r="F16" i="16"/>
  <c r="D16" i="16"/>
  <c r="C16" i="16"/>
  <c r="B16" i="16"/>
  <c r="I15" i="16"/>
  <c r="G15" i="16"/>
  <c r="F15" i="16"/>
  <c r="D15" i="16"/>
  <c r="C15" i="16"/>
  <c r="B15" i="16"/>
  <c r="I14" i="16"/>
  <c r="G14" i="16"/>
  <c r="F14" i="16"/>
  <c r="D14" i="16"/>
  <c r="C14" i="16"/>
  <c r="B14" i="16"/>
  <c r="I13" i="16"/>
  <c r="G13" i="16"/>
  <c r="F13" i="16"/>
  <c r="D13" i="16"/>
  <c r="C13" i="16"/>
  <c r="B13" i="16"/>
  <c r="I12" i="16"/>
  <c r="G12" i="16"/>
  <c r="F12" i="16"/>
  <c r="D12" i="16"/>
  <c r="C12" i="16"/>
  <c r="B12" i="16"/>
  <c r="I11" i="16"/>
  <c r="G11" i="16"/>
  <c r="F11" i="16"/>
  <c r="D11" i="16"/>
  <c r="C11" i="16"/>
  <c r="B11" i="16"/>
  <c r="I10" i="16"/>
  <c r="G10" i="16"/>
  <c r="F10" i="16"/>
  <c r="D10" i="16"/>
  <c r="C10" i="16"/>
  <c r="B10" i="16"/>
  <c r="I9" i="16"/>
  <c r="G9" i="16"/>
  <c r="F9" i="16"/>
  <c r="D9" i="16"/>
  <c r="C9" i="16"/>
  <c r="B9" i="16"/>
  <c r="I8" i="16"/>
  <c r="G8" i="16"/>
  <c r="F8" i="16"/>
  <c r="D8" i="16"/>
  <c r="C8" i="16"/>
  <c r="B8" i="16"/>
  <c r="I7" i="16"/>
  <c r="G7" i="16"/>
  <c r="F7" i="16"/>
  <c r="D7" i="16"/>
  <c r="C7" i="16"/>
  <c r="B7" i="16"/>
  <c r="I6" i="16"/>
  <c r="G6" i="16"/>
  <c r="F6" i="16"/>
  <c r="D6" i="16"/>
  <c r="C6" i="16"/>
  <c r="B6" i="16"/>
  <c r="I5" i="16"/>
  <c r="G5" i="16"/>
  <c r="F5" i="16"/>
  <c r="D5" i="16"/>
  <c r="C5" i="16"/>
  <c r="B5" i="16"/>
  <c r="I4" i="16"/>
  <c r="G4" i="16"/>
  <c r="F4" i="16"/>
  <c r="D4" i="16"/>
  <c r="C4" i="16"/>
  <c r="B4" i="16"/>
</calcChain>
</file>

<file path=xl/sharedStrings.xml><?xml version="1.0" encoding="utf-8"?>
<sst xmlns="http://schemas.openxmlformats.org/spreadsheetml/2006/main" count="3072" uniqueCount="396">
  <si>
    <t>Профиль</t>
  </si>
  <si>
    <t>Марка</t>
  </si>
  <si>
    <t>Размер, мм</t>
  </si>
  <si>
    <t>Длина раскрой м/мм.</t>
  </si>
  <si>
    <t>ГОСТ, ТУ</t>
  </si>
  <si>
    <t>Ост.,т</t>
  </si>
  <si>
    <t>Завод-изготовитель</t>
  </si>
  <si>
    <t>ЦЕНА с НДС, р/т</t>
  </si>
  <si>
    <t>Склад</t>
  </si>
  <si>
    <t>Примечание</t>
  </si>
  <si>
    <t>Куб</t>
  </si>
  <si>
    <t>08Х18Н10Т</t>
  </si>
  <si>
    <t>340х455</t>
  </si>
  <si>
    <t>1шт, ОСТ 125.13</t>
  </si>
  <si>
    <t>РОССИЯ</t>
  </si>
  <si>
    <t>МО,г. Апрелевка</t>
  </si>
  <si>
    <t>340х450</t>
  </si>
  <si>
    <t>340х445</t>
  </si>
  <si>
    <t>Квадрат</t>
  </si>
  <si>
    <t>12Х2НВФА</t>
  </si>
  <si>
    <t>госрезерв</t>
  </si>
  <si>
    <t>14Х17Н2</t>
  </si>
  <si>
    <t>14-1-4492-88, 5949-75</t>
  </si>
  <si>
    <t>Труба</t>
  </si>
  <si>
    <t>AISI904L</t>
  </si>
  <si>
    <t>108х4</t>
  </si>
  <si>
    <t>Китай</t>
  </si>
  <si>
    <t>12Х18Н10Т</t>
  </si>
  <si>
    <t>426х10</t>
  </si>
  <si>
    <t>х/д, ГОСТ 9941-2022, ГОСТ 9941-81 ,Травление внутренней и наружной поверхности</t>
  </si>
  <si>
    <t>2 склад</t>
  </si>
  <si>
    <t>Лента</t>
  </si>
  <si>
    <t>08Х18Н10</t>
  </si>
  <si>
    <t>0,2х380</t>
  </si>
  <si>
    <t>ГОСТ 4986-79, М-НО-НТ, 3В</t>
  </si>
  <si>
    <t>12Х18Н9</t>
  </si>
  <si>
    <t>0,4х400</t>
  </si>
  <si>
    <t>ГОСТ 4986-79, М-НО-НТ, 3В, АТП</t>
  </si>
  <si>
    <t>0,4х330</t>
  </si>
  <si>
    <t>0,5х330</t>
  </si>
  <si>
    <t>Круг</t>
  </si>
  <si>
    <t>07Х16Н6 (ЭП288)</t>
  </si>
  <si>
    <t>Поковка обточ</t>
  </si>
  <si>
    <t>07Х16Н6</t>
  </si>
  <si>
    <t>07Х16Н4Б</t>
  </si>
  <si>
    <t>0.251</t>
  </si>
  <si>
    <t>07Х16Н6-Ш (ЭП288-Ш)</t>
  </si>
  <si>
    <t>ТУ 14-1-1660-76, 2ГП, обт., НМВ, ГОСТ 2590-2006, РТТ</t>
  </si>
  <si>
    <t>ТУ 14-1-1660-76, 2ГП, обт., НМВ, ГОСТ 2590-2006, РТТ,УЗК</t>
  </si>
  <si>
    <t>07Х16Н4Б-Ш</t>
  </si>
  <si>
    <t>07Х16Н6М-Ш</t>
  </si>
  <si>
    <t>0,4м.-1м.</t>
  </si>
  <si>
    <t>ГОСТ 2590-2006,ТУ 14-136-372-2012,г/к,обточ.РТТ</t>
  </si>
  <si>
    <t>Шестигранник</t>
  </si>
  <si>
    <t>ГОСТ 8560-78,ТУ 14-136-371,калибр.H12, ТО</t>
  </si>
  <si>
    <t>ГОСТ 8560-78,ТУ 14-130-295-99,калибр.H12, ТО</t>
  </si>
  <si>
    <t>круг</t>
  </si>
  <si>
    <t>08Х21Н6М2Т ( ЭП54)</t>
  </si>
  <si>
    <t>ГОСТ 5949-75 ГОСТ 2590-2006</t>
  </si>
  <si>
    <t>1,42м.</t>
  </si>
  <si>
    <t>26Х2НВМБР (КВК26)</t>
  </si>
  <si>
    <t>ТУ 14-1-1310-2015, РТТ</t>
  </si>
  <si>
    <t>ТУ 14-1-2264-77, 2ГП, отж., обт., ГОСТ 2590-2006, РТТ</t>
  </si>
  <si>
    <t>26Х2НВМБР-Ш (КВК26-Ш)</t>
  </si>
  <si>
    <t>ТУ 14-1-2264-77, 2ГП, обт., отж, ГОСТ 2590-06, УЗК, РТТ</t>
  </si>
  <si>
    <t xml:space="preserve"> 13Х15Н4АМ3-Ш (ЭП310-Ш)</t>
  </si>
  <si>
    <t>ТУ 14-1-940-74, гр б (ГОСТ 5949-75), отж, 2590-2006, В1, УЗК, РТТ</t>
  </si>
  <si>
    <t xml:space="preserve"> ХН55МБЮ-ВД (ЭП666-ВД)( кованый)</t>
  </si>
  <si>
    <t>ТУ 14-1-2606-79 ГОСТ 22411-77, обточ, УЗК, РТ-Техприемка</t>
  </si>
  <si>
    <t>07Х25Н16АГ6Ф-Ш (ЭП750-Ш)</t>
  </si>
  <si>
    <t>ТУ 14-1-911-74</t>
  </si>
  <si>
    <t>07Х3ГНМЮА</t>
  </si>
  <si>
    <t>ГОСТ 4543-2016, 2ГП, обточ., отж.,  2590-2006, н/д. РТТ</t>
  </si>
  <si>
    <t>ТУ 3-1078-78, 3ГП,  отж.,ГОСТ 2590-2006,НМВ, н/д. РТТ</t>
  </si>
  <si>
    <t>В производстве</t>
  </si>
  <si>
    <t>ГОСТ 4543-2016, 2ГП,  отж.,  2590-2006, н/д. РТТ</t>
  </si>
  <si>
    <t>МО, г. Апрелевка</t>
  </si>
  <si>
    <t xml:space="preserve">ТУ 3-1078-78, 3ГП,обточ.  отж.,ГОСТ 2590-2006,НМВ, н/д. </t>
  </si>
  <si>
    <t>ТС 00186387-80-2018, ГОСТ 4543-2016, 1ГП,  отж.,  2590-2006, н/д. РТТ</t>
  </si>
  <si>
    <t>ТУ 14-1-4229-2007, 2ГП, обточ., отж.,  2590-2006, н/д. РТТ,УЗК</t>
  </si>
  <si>
    <t>ГОСТ 4543-2016, 2ГП,  отж.,ГОСТ 2590-2006,НМВ, н/д. РТТ,УЗК</t>
  </si>
  <si>
    <t>ГОСТ 4543-2016, 2ГП, обточ., отж., контр  НМВ 2590-2006, н/д</t>
  </si>
  <si>
    <t xml:space="preserve">4,6т по ТУ </t>
  </si>
  <si>
    <t>ТУ 3-1078-78, 1ГП,  отж.,ГОСТ 2590-2006,НМВ, н/д. РТТ</t>
  </si>
  <si>
    <t>ГОСТ 4543-2016, 2ГП, обточ., отж., контр  НМВ 2590-2006, н/д, РТТ</t>
  </si>
  <si>
    <t>ГОСТ 4543-2016, 2ГП, обточ., отж., контр НМВ 2590-2006, н/д, РТТ</t>
  </si>
  <si>
    <t>ТП ЗЭМЗ 569-2014, ГОСТ 5949-75, ГОСТ 2590-06, УЗК, для АЭС</t>
  </si>
  <si>
    <t>кри</t>
  </si>
  <si>
    <t>14-1-950-86, 2гр, отж.,  ТП</t>
  </si>
  <si>
    <t>14-1-950-86</t>
  </si>
  <si>
    <t>14-1-950-86, отж., 2гр, ТП</t>
  </si>
  <si>
    <t>14-1-950-86, отж., 2гр, ТП,обточ.</t>
  </si>
  <si>
    <t xml:space="preserve"> </t>
  </si>
  <si>
    <t>14-1-950-86, 2гп, обт</t>
  </si>
  <si>
    <t>14-1-950-86, отж., 2ГП, НМВ, РТТ</t>
  </si>
  <si>
    <t>14-1-950-86, отж., 2ГП, обт.</t>
  </si>
  <si>
    <t>14-1-950-86, отж., 2гр, обт.,ТП, УЗК</t>
  </si>
  <si>
    <t>14-1-950-86,в/о, 2ГП, НМВ, РТТ</t>
  </si>
  <si>
    <t>14-1-950-86, 3ГП, РТТ</t>
  </si>
  <si>
    <t>2590-2006,14-1-950-86, 2ГП,обточ. РТТ</t>
  </si>
  <si>
    <t>14-1-950-86, отж., 2ГП, обт, РТТ</t>
  </si>
  <si>
    <t>14-1-950-86, отж., 2ГП, НМВ,УЗК, РТТ</t>
  </si>
  <si>
    <t>14-1-950-86, отж.,обточ., 2ГП, НМВ,</t>
  </si>
  <si>
    <t>14-1-950-86, АТП</t>
  </si>
  <si>
    <t>14-1-950-86, АТП, обт.</t>
  </si>
  <si>
    <t>12Х2НВФА-ВД</t>
  </si>
  <si>
    <t>без сертификата</t>
  </si>
  <si>
    <t>12ХН3А</t>
  </si>
  <si>
    <t>ГОСТ 4543-71, 2590-2006</t>
  </si>
  <si>
    <t>12Х21Н5Т (ЭИ811)</t>
  </si>
  <si>
    <t>ТУ 14-1-1283-75 ГОСТ 2590-2006, без сертификата</t>
  </si>
  <si>
    <t>13Х11Н2В2МФ-Ш (ЭИ961-Ш)</t>
  </si>
  <si>
    <t>14-1-4492-2016, ГОСТ 5632-2014, отж.,РТТ</t>
  </si>
  <si>
    <t>14-1-3297-82, ГОСТ 5949-2018 2590-2006</t>
  </si>
  <si>
    <t>14-1-3297-82, ГОСТ 5949-2018 2590-2006, 3ГП, обточ, без т/о</t>
  </si>
  <si>
    <t>14-1-3297-82, ГОСТ 5949-2018 2590-2006, 2ГП, обточ, ож. РТТ,УЗК</t>
  </si>
  <si>
    <t>ТУ 14-1-3564-83 ГОСТ 2590-88, без серт</t>
  </si>
  <si>
    <t>20Х12Н2Г</t>
  </si>
  <si>
    <t>20ХГР</t>
  </si>
  <si>
    <t>25Х1МФ</t>
  </si>
  <si>
    <t>20072-74, подгр а, т/о 2590-2006</t>
  </si>
  <si>
    <t>25Х2Н4МА</t>
  </si>
  <si>
    <t>30Х13</t>
  </si>
  <si>
    <t>ГОСТ 5949-2018, 2ГП, ТО ГОСТ 2590-2006</t>
  </si>
  <si>
    <t>30ХГСА</t>
  </si>
  <si>
    <t>4543-71</t>
  </si>
  <si>
    <t>ТУ 14-1-3238, 2ГП, 2590,  РТ-Техприемка</t>
  </si>
  <si>
    <t>в мотках( 600кг, 350кг, 82кг)</t>
  </si>
  <si>
    <t>ТУ- 14-1-950-86, 2ГП-ТО, РТТ</t>
  </si>
  <si>
    <t>ТУ 14-1-950-86, 2ГП-ТО, ГОСТ 7417-75, ГП В, h11,РТТ</t>
  </si>
  <si>
    <t>ТУ- 14-1-950-86, 2ГП-ТО, ГОСТ 2590-2006, РТТ</t>
  </si>
  <si>
    <t>ТУ- 14-1-950-86, 3ГП-ТО, ГОСТ 2590-2006, РТТ</t>
  </si>
  <si>
    <t>30ХГСН2А</t>
  </si>
  <si>
    <t>ГОСТ 4543-2016, 2ГП, отж, ГОСТ 2590-2006</t>
  </si>
  <si>
    <t>ТУ 14-1-950-86 , 2ГП, отж., ГОСТ 2590-2006</t>
  </si>
  <si>
    <t>30ХМА</t>
  </si>
  <si>
    <t>4543-2016, 2ГП,без т/о, 2590, В1,IV, н/д</t>
  </si>
  <si>
    <t>4543-2016, 2ГП,т/о, 2590, В1,IV, н/д</t>
  </si>
  <si>
    <t>4543-2016, 2ГП, т/о, 2590, В1,IV, н/д</t>
  </si>
  <si>
    <t>4543-2016,2ГП,без т/о, 2590, В1,IV, н/д</t>
  </si>
  <si>
    <t>4543-2016,3ГП,без т/о, 2590, В1,IV, н/д</t>
  </si>
  <si>
    <t>4543-2016,2ГП, т/о, 2590, В1,IV, н/д</t>
  </si>
  <si>
    <t>4543-2016,3ГП,обт.,  т/о, 2590, В1,IV, н/д</t>
  </si>
  <si>
    <t>4543-2016,3ГП, т/о, 2590, В1,IV, н/д</t>
  </si>
  <si>
    <t>4543-2016, 2ГП,н/о, контр немет, 2590, В1,IV, н/д</t>
  </si>
  <si>
    <t>4543-2016, 3ГП,б/то,  2590, В1,IV, н/д</t>
  </si>
  <si>
    <t>4543-2016,3ГП, т/о,НМВК, 2590, В1,IV, н/д</t>
  </si>
  <si>
    <t>Поковка</t>
  </si>
  <si>
    <t>30ХМА-Ш</t>
  </si>
  <si>
    <t>4543-2016, 3ГП, н/о, 2590-2006, В2</t>
  </si>
  <si>
    <t>4543-2016, 3ГП, отж., 2590-2006, В1, IV кл крив, н/д</t>
  </si>
  <si>
    <t>8479-70 грll</t>
  </si>
  <si>
    <t>35Х3НМ</t>
  </si>
  <si>
    <t>38Х2Н2МА</t>
  </si>
  <si>
    <t>ГОСТ 4543-2016, 2590-2006, 2гп, отж</t>
  </si>
  <si>
    <t>ГОСТ 4543-2016, 2590-2006, 2гп</t>
  </si>
  <si>
    <t>ГОСТ 4543-2016, 2590-2006, 2гп,отж, РТТ</t>
  </si>
  <si>
    <t>ГОСТ 4543-2016, 2590-2006, 2гп, РТТ</t>
  </si>
  <si>
    <t>ГОСТ 4543-2016, 2590-2006, 2гп,ТО</t>
  </si>
  <si>
    <t>БМЗ</t>
  </si>
  <si>
    <t>ГОСТ 4543-2016, 2590-2006,2ГП, отжиг, РТТ</t>
  </si>
  <si>
    <t>ГОСТ 4543-2016, 2590-2006,3ГП, отжиг, РТТ</t>
  </si>
  <si>
    <t>4543-71, отж., 3гп,  контр немет вкл, РТТ</t>
  </si>
  <si>
    <t>ГОСТ 4543-2016, 2590-2006, отж.,2гп, РТТ</t>
  </si>
  <si>
    <t>ГОСТ 4543-2016, 2590-2006, 2гп,т/о, РТТ</t>
  </si>
  <si>
    <t>ГОСТ 4543-2016, 2590-2006,2ГП, обточ.,отжиг, УЗК,РТТ</t>
  </si>
  <si>
    <t>склад завода</t>
  </si>
  <si>
    <t>4543-2016, 2гп, 2590-2006, без т/о</t>
  </si>
  <si>
    <t>4543-2016, 2590-2006, 2ГП. Отж., н/д, В1</t>
  </si>
  <si>
    <t>4543-2016, 2ГП, УЗК, НМВ</t>
  </si>
  <si>
    <t>4543-2016, 2590-2006, 2ГП. Отж.,В1, IV класс кривизны, Н/Д , РТТ</t>
  </si>
  <si>
    <t>4543-71, отж.,3гп</t>
  </si>
  <si>
    <t>4543-71, отж., 2гп</t>
  </si>
  <si>
    <t xml:space="preserve">ГОСТ 4543-2016, 2590-2006,2ГП, </t>
  </si>
  <si>
    <t>4543-2016, 2590-2006</t>
  </si>
  <si>
    <t>4543-2016, 2590-2006, 3ГП. Отж.,В1, , Н/Д , РТТ</t>
  </si>
  <si>
    <t>4543-2016, 2590-2006, 3ГП. Отж.,В1, Н/Д , РТТ</t>
  </si>
  <si>
    <t>4543-2016, ТУ 14-1-2118-98, 3ГП. Отж.,В1, Н/Д , РТТ</t>
  </si>
  <si>
    <t>4543-2016, 2590-2006, 3ГП, то, НВК, РТТ</t>
  </si>
  <si>
    <t>4543-71, отж.,2гп</t>
  </si>
  <si>
    <t>4543-2016, 2590-2006, 3ГП, то, НВК</t>
  </si>
  <si>
    <t>38ХМ</t>
  </si>
  <si>
    <t>38ХМ(А)</t>
  </si>
  <si>
    <t>38ХН3МФА</t>
  </si>
  <si>
    <t>4543-2016, 2590-2006, 1ГП, обт., РТ-Техприемка</t>
  </si>
  <si>
    <t>ДСС</t>
  </si>
  <si>
    <t>4543-2016, 2590-2006, 2ГП,  РТ-Техприемка</t>
  </si>
  <si>
    <t>4543-2016, 2590-2006, 2ГП, в/о, НМВ, РТ-Техприемка</t>
  </si>
  <si>
    <t>4543-2016, 2590-2006, 2ГП, отж., НМВ, РТ-Техприемка</t>
  </si>
  <si>
    <t>в производстве</t>
  </si>
  <si>
    <t>4543-2016, 2590-2006, 2ГП,  НМВ, РТ-Техприемка</t>
  </si>
  <si>
    <t>4543-2016, 2590-2006, 2ГП, в/о</t>
  </si>
  <si>
    <t>4543-2016, 2590-2006, 3ГП,отж.,НМВ,  РТ-Техприемка</t>
  </si>
  <si>
    <t>4543-2016,2гп. обт, т/о,2590, контр немет включ,УЗК, РТТ</t>
  </si>
  <si>
    <t>4543-2016,3ГП, т/о,2590, НМВ, РТТ</t>
  </si>
  <si>
    <t>4543-2016,3ГП., т/о,2590, контр немет включ, РТТ</t>
  </si>
  <si>
    <t>4543-2016, 2590-2006, 2ГП, обточ. Отж., УЗК, НВК, РТТ</t>
  </si>
  <si>
    <t>4543-2016, 2590-2006, 1ГП, отж., НМВ, РТ-Техприемка,УЗК</t>
  </si>
  <si>
    <t>4543-2016, 2ГП, обт., ТО,  НМВ, 2590-2006, IVкл кр, к/д 1,6м, РТТ</t>
  </si>
  <si>
    <t>4543-2016, 2гп., т/о,2590</t>
  </si>
  <si>
    <t>4543-2016, 2590-2006, 2ГП, обт., УЗК, РТ-Техприемка</t>
  </si>
  <si>
    <t>4543-2016, 2590-2006, 2ГП, обт., отж.,  УЗК, РТТ</t>
  </si>
  <si>
    <t>4543-2016,2гп., обт,  т/о,2590, контр немет включ,УЗК, РТТ</t>
  </si>
  <si>
    <t>4543-2016, 2590-2006, 2ГП, обт., ТО, НМВ,УЗК, РТ-Техприемка</t>
  </si>
  <si>
    <t>4543-2016, 2590-2006, 2ГП,., ТО, НМВ,УЗК, РТ-Техприемка</t>
  </si>
  <si>
    <t>4543-2016, 2590-2006, 3ГП, ТО, НМВ, РТ-Техприемка</t>
  </si>
  <si>
    <t>4543-2016, 2 гр, 2590, УЗК, КНВ</t>
  </si>
  <si>
    <t>4543-2016, 2 гр, 2590, КНВ,РТ-Приемка</t>
  </si>
  <si>
    <t>4543-2016, 3гр, 2590</t>
  </si>
  <si>
    <t>4543-2016, 3гп., т/о,2590, контр немет включ, РТТ</t>
  </si>
  <si>
    <t>дф</t>
  </si>
  <si>
    <t>4543-2016, 2гп, обточ, отж, НВК. УЗК</t>
  </si>
  <si>
    <t>4543-2016, 2гп, отж, НВК. РТТ</t>
  </si>
  <si>
    <t>4543-2016, 3ГП, отж, НМВ, 2590, РТТ</t>
  </si>
  <si>
    <t>4543-2016,2гп., н/о,2590, контр немет включ,УЗК</t>
  </si>
  <si>
    <t>4543-2016, 3ГП, отж, НМВ, 2590</t>
  </si>
  <si>
    <t>4543-2016,2гп.,т/о,2590, контр немет включ,УЗК, РТТ, рт-приемка</t>
  </si>
  <si>
    <t>4543-2016, ТУ 14-1-2118-98, 3ГП, отж, к/д 1700мм, ГОСТ 2590-2006</t>
  </si>
  <si>
    <t>4543-2016, ТУ 14-1-2118-98, 3ГП, отж, НВК, РТТ</t>
  </si>
  <si>
    <t>3ГП, отж</t>
  </si>
  <si>
    <t>4543-2016, 3ГП, отж, НМВ, 2590, РТТ, ТУ 14-1-2118-98</t>
  </si>
  <si>
    <t>0,45  2,175</t>
  </si>
  <si>
    <t>8479-70,гр ll, т/о, м/о, УЗК</t>
  </si>
  <si>
    <t>Северный Кузнечно-механический завод</t>
  </si>
  <si>
    <t>1,15;1,030;2,05;0,645;0,640</t>
  </si>
  <si>
    <t>1,35- 2,055</t>
  </si>
  <si>
    <t>8479-70, гр.II, обточка, УЗК ГОСТ 24507 гр 4n, АЭС кл без 3</t>
  </si>
  <si>
    <t>Златоуст</t>
  </si>
  <si>
    <t>245х42</t>
  </si>
  <si>
    <t>ц/т, г/д</t>
  </si>
  <si>
    <t>245х30</t>
  </si>
  <si>
    <t>6,94м./8м.</t>
  </si>
  <si>
    <t>510х60</t>
  </si>
  <si>
    <t>45ХН2МФА</t>
  </si>
  <si>
    <t>4543-2016, 2ГП, отж, 2590-2006, В1, н/д</t>
  </si>
  <si>
    <t>ГОСТ 4543-16, 3ГП,обт., отж., 2590-06, В1, НМВ,IV кл. кр.</t>
  </si>
  <si>
    <t>ГОСТ 4543-16, 2ГП, отж., 2590-06, В1, IV кл. кр.,КНВ</t>
  </si>
  <si>
    <t>ГОСТ 4543-16, 2ГП, отж., 2590-06, В1, IV кл. кр.</t>
  </si>
  <si>
    <t>ГОСТ 4543-16, 2ГП, 2590-06, В1, IV кл. кр.</t>
  </si>
  <si>
    <t>ГОСТ 4543-16, 2ГП, отж., 2590-06, В1, НМВ, IV кл. кр.</t>
  </si>
  <si>
    <t>ГОСТ 4543-16, 2ГП., 2590-06,</t>
  </si>
  <si>
    <t>ГОСТ 4543-16, 3ГП, отж., 2590-06, В1, НМВ, IV кл. кр.</t>
  </si>
  <si>
    <t>не обточ.</t>
  </si>
  <si>
    <t>45ХН2МФА-Ш</t>
  </si>
  <si>
    <t>к/д 930</t>
  </si>
  <si>
    <t>ТУ 14-1-1725-76, 1ГП, обточ, от+в.отп, 2590-2006</t>
  </si>
  <si>
    <t>к/д 1,69</t>
  </si>
  <si>
    <t>2,89-3,1; 2,0-6,0</t>
  </si>
  <si>
    <t>2,0-6,0</t>
  </si>
  <si>
    <t>ГОСТ 4543-2016, 3ГП, 2590-2006</t>
  </si>
  <si>
    <t>ОХН1М</t>
  </si>
  <si>
    <t>ТУ 14-1-4058-06,отж., 2гп,  РТ-Техприемка</t>
  </si>
  <si>
    <t>ТУ 14-1-4058-06,б/ отж., 2гп,  РТ-Техприемка</t>
  </si>
  <si>
    <t>ТУ 14-1-4058-06, отж., 2гп, РТТ</t>
  </si>
  <si>
    <t>аналог 38х2н2ма</t>
  </si>
  <si>
    <t>ТУ 14-1-4058-06, отж.</t>
  </si>
  <si>
    <t>ТУ 14-1-4058-06, 2гп, отж, РТТ</t>
  </si>
  <si>
    <t>МО,г.Апрелевка</t>
  </si>
  <si>
    <t>ТУ 14-1-4058-06,отж., 2гп,обточ.,УЗК,  РТ-Техприемка</t>
  </si>
  <si>
    <t>ТУ 14-1-4058-06,отж., 2гп,обт.</t>
  </si>
  <si>
    <t>ТУ 14-1-4058-06, отж., 1гр</t>
  </si>
  <si>
    <t>ТУ 14-1-4058-06, отж., 1гр, обт.,УЗК, РТ-Техприемка</t>
  </si>
  <si>
    <t>ТУ 14-1-4058-06, отж.2гп</t>
  </si>
  <si>
    <t>196х38</t>
  </si>
  <si>
    <t>ОХН3МА-Ш</t>
  </si>
  <si>
    <t>ОХН3МФА</t>
  </si>
  <si>
    <t>ТУ 14-1-4058-06, отж., 2гр</t>
  </si>
  <si>
    <t>ТУ 14-1-4058-06, отж., 2гп, НМВ, УЗК, РТТ</t>
  </si>
  <si>
    <t>14-1-4058-2006, 1гр., обт., т/о,УЗК, 2590-06, 3-6м</t>
  </si>
  <si>
    <t>14-1-4058-2006, 2ГП, обточ, т/о, 2590-2006, В1, УЗК, КНВ, РТТ</t>
  </si>
  <si>
    <t>14-1-4058-2006, 2ГП,  2590-2006, В1, УЗК, КНВ, РТТ</t>
  </si>
  <si>
    <t>ОХН3МА</t>
  </si>
  <si>
    <t>1 шт. 3,29м./1шт. 2,77м.</t>
  </si>
  <si>
    <t>1 шт. 2,96м./1 шт. 2,71м.</t>
  </si>
  <si>
    <t>ХН78Т</t>
  </si>
  <si>
    <t>ТУ 14-1-1671-76 ГОСТ 22411-77, обт, 2гр, подгр а, РТТ</t>
  </si>
  <si>
    <t>14-1-1671-76,22411-77,н/д, кованый</t>
  </si>
  <si>
    <t>20х2</t>
  </si>
  <si>
    <t>ТУ 14-3-520-2005, Х/Т</t>
  </si>
  <si>
    <t>22х2</t>
  </si>
  <si>
    <t>Лист</t>
  </si>
  <si>
    <t>1000х2000</t>
  </si>
  <si>
    <t>14-1-3370-2006, 19903-74, РТТ</t>
  </si>
  <si>
    <t>1000х2750/2850</t>
  </si>
  <si>
    <t>14-1-3370-2006, 19904-90</t>
  </si>
  <si>
    <t>14-1-3370-2006, 19903-2015, отж, трав, промасл</t>
  </si>
  <si>
    <t>14-1-3370-2006, 19903-2015, отж, трав, промасл, РТТ</t>
  </si>
  <si>
    <t>1200/1500х5000/6000</t>
  </si>
  <si>
    <t>14-1-3370-82, 19903</t>
  </si>
  <si>
    <t>1500х6000</t>
  </si>
  <si>
    <t>14-1-3370-2006, АТП</t>
  </si>
  <si>
    <t>14-1-3370-2006, 19903-75, РТТ</t>
  </si>
  <si>
    <t>14-1-3370-2006, 19903-2015, РТТ</t>
  </si>
  <si>
    <t>1250х6000</t>
  </si>
  <si>
    <t>14-1-3370-2006, РТТ</t>
  </si>
  <si>
    <t>1500х5000/6000</t>
  </si>
  <si>
    <t>1500х4000/5000</t>
  </si>
  <si>
    <t>1000/1100х4000/4500</t>
  </si>
  <si>
    <t>1000/1100х3000/3600</t>
  </si>
  <si>
    <t>800/900х3200/3700</t>
  </si>
  <si>
    <t>890х2280</t>
  </si>
  <si>
    <t>08Х15Н5Д2Т-Ш(ЭП410-Ш)</t>
  </si>
  <si>
    <t>14-1-835-2014, 19904, РТТ</t>
  </si>
  <si>
    <t>1500х3500/4500</t>
  </si>
  <si>
    <t>ТУ 14-1-2907-2019, т/о, травл РТТ</t>
  </si>
  <si>
    <t>1200х6000</t>
  </si>
  <si>
    <t>11268-76, 19903-74</t>
  </si>
  <si>
    <t>1250х2500</t>
  </si>
  <si>
    <t>11268-76, 19903-74, РТ-Техприемка</t>
  </si>
  <si>
    <t>11268-76, 19903-2016,промасл.,3б,  РТ-Техприемка</t>
  </si>
  <si>
    <t>11269-76, кат.3, подгр б, отж, травл, промасл., 19903-15, РТТ</t>
  </si>
  <si>
    <t>11269-76, 19903-74</t>
  </si>
  <si>
    <t>1540х5580</t>
  </si>
  <si>
    <t>11269-76, 19903-74, РТ-Техприемка</t>
  </si>
  <si>
    <t>11268-76, 19903-2016,промасл.,  РТ-Техприемка</t>
  </si>
  <si>
    <t>1200/1300х3000/4000</t>
  </si>
  <si>
    <t>11269-76, 19903-2015,РТТ</t>
  </si>
  <si>
    <t>1000/1000х4000/4500</t>
  </si>
  <si>
    <t>1000/1100х2800/3300</t>
  </si>
  <si>
    <t>12Х18Н10Т М</t>
  </si>
  <si>
    <t>ТУ 14-1-2186-77, ГОСТ 19904-90, РТТ</t>
  </si>
  <si>
    <t>750х1500</t>
  </si>
  <si>
    <t>ГОСТ 5582-75, ГОСТ 19903-15, РТТ</t>
  </si>
  <si>
    <t xml:space="preserve">12Х18Н10Т </t>
  </si>
  <si>
    <t>ГОСТ 7350-77, ГОСТ 19903-15</t>
  </si>
  <si>
    <t>ГОСТ 7350-77, ГОСТ 19903-15, РТТ</t>
  </si>
  <si>
    <t>1500х3000</t>
  </si>
  <si>
    <t xml:space="preserve">ГОСТ 7350-77, ГОСТ 19903-15, </t>
  </si>
  <si>
    <t>20ХГСА</t>
  </si>
  <si>
    <t>ТУ 14-1-1409-2018, ГОСТ 4543-2016, 19903-2015, отж</t>
  </si>
  <si>
    <t>1200/1300х3500/4000</t>
  </si>
  <si>
    <t>ТС 132-35-2023, ГОСТ 4543-2016 19903-2015, отж</t>
  </si>
  <si>
    <t>1000/1100х3500/4000</t>
  </si>
  <si>
    <t>800/1420</t>
  </si>
  <si>
    <t>х/к, ГОСТ 11268-76, ГОСТ 19904-90, РТТ</t>
  </si>
  <si>
    <t>720х1420</t>
  </si>
  <si>
    <t>ГОСТ 11268, ГОСТ 19904</t>
  </si>
  <si>
    <t>730х1600</t>
  </si>
  <si>
    <t>г/к,  ГОСТ 11268-76, ГОСТ 19903-15</t>
  </si>
  <si>
    <t>11269-76, кат.5, 19903 , Б-О, отж, пром., РТТ</t>
  </si>
  <si>
    <t>г/к,  ГОСТ 11268-76, ГОСТ 19903-15,</t>
  </si>
  <si>
    <t>40ХФА</t>
  </si>
  <si>
    <t>ГОСТ 4543-2016, 7566-2018, РТТ</t>
  </si>
  <si>
    <t>65Г</t>
  </si>
  <si>
    <t>ГОСТ 1577-93, ГОСТ 19903-2015, ГОСТ 14959-2016</t>
  </si>
  <si>
    <t>60С2А</t>
  </si>
  <si>
    <t>710х2000</t>
  </si>
  <si>
    <t>ТУ 14-1-2108-77, ГОСТ 19904-90, РТТ</t>
  </si>
  <si>
    <t>ТУ 1411123-74, ГОСТ 19903-15, РТТ</t>
  </si>
  <si>
    <t>360х1480</t>
  </si>
  <si>
    <t>ГОСТ 1577-22, ГОСТ 19903-15</t>
  </si>
  <si>
    <t>Ст.3</t>
  </si>
  <si>
    <t>19903,лежалые</t>
  </si>
  <si>
    <t xml:space="preserve"> 12Х18Н10Т-ВД (калиброванный)</t>
  </si>
  <si>
    <t>ТУ 14-1-3581-83 ГОСТ 8560-78,h12, РТ-Техприемка</t>
  </si>
  <si>
    <t xml:space="preserve"> 12Х18Н9 (калиброванный)</t>
  </si>
  <si>
    <t>ТУ 14-1-3957-85 ГОСТ 8560-78, h11, РТ-Техприемка</t>
  </si>
  <si>
    <t>12Х18Н10Т-ВД</t>
  </si>
  <si>
    <t>ГОСТ 8560-78, ТУ 14-1-3581-83</t>
  </si>
  <si>
    <t>20Х13</t>
  </si>
  <si>
    <t>в бухтах</t>
  </si>
  <si>
    <t>ТУ 14-1-3957-85 ГОСТ 8560-78, без сертификата</t>
  </si>
  <si>
    <t>Отвод</t>
  </si>
  <si>
    <t>304L(03Х18Н11)</t>
  </si>
  <si>
    <t>104х2,0</t>
  </si>
  <si>
    <t>1300р/шт</t>
  </si>
  <si>
    <t>Полоса</t>
  </si>
  <si>
    <t xml:space="preserve">ст 20 </t>
  </si>
  <si>
    <t>30х130</t>
  </si>
  <si>
    <t>ХВФ</t>
  </si>
  <si>
    <t>резерв</t>
  </si>
  <si>
    <t>У8А</t>
  </si>
  <si>
    <t>0,7х4,0</t>
  </si>
  <si>
    <t>х/к</t>
  </si>
  <si>
    <t>65С2ВА</t>
  </si>
  <si>
    <t>16ХГТА</t>
  </si>
  <si>
    <t>7Х3</t>
  </si>
  <si>
    <t>0,7х2,5</t>
  </si>
  <si>
    <t>х/к,    ???????</t>
  </si>
  <si>
    <t>120х330</t>
  </si>
  <si>
    <t>20Х23Н13</t>
  </si>
  <si>
    <t>1шт-190х1200, 100 шт.-70-95х930-970 (обрезь с листов)</t>
  </si>
  <si>
    <t>Профмль</t>
  </si>
  <si>
    <t>Марка стали</t>
  </si>
  <si>
    <t>Размер,мм</t>
  </si>
  <si>
    <t>Кол-во, тн.</t>
  </si>
  <si>
    <t>Цена руб./тн. С НДС</t>
  </si>
  <si>
    <t xml:space="preserve"> 3ГП,  отж.,ГОСТ 2590-2006,НМВ, н/д. РТТ</t>
  </si>
  <si>
    <t>ГОСТ 4543-2016, 2590-2006,3ГП, обточ.,отжиг, УЗК,РТТ</t>
  </si>
  <si>
    <t>1500х2000</t>
  </si>
  <si>
    <t>Склад Мариуполь</t>
  </si>
  <si>
    <t>ГОСТ 4543-2016, 1ГП, обточ., отж., контр  НМВ 2590-2006, н/д, РТТ</t>
  </si>
  <si>
    <t xml:space="preserve">ГОСТ 4543-2016, 1ГП, обточ., отж., контр НМВ 2590-2006, н/д, </t>
  </si>
  <si>
    <t>ТУ 14-1-4058-06,б/ отж., 2гп,  РТ-Техприемка, УЗК</t>
  </si>
  <si>
    <t>ПРАЙС-ЛИСТ ООО "МосОборонСнаб"</t>
  </si>
  <si>
    <t xml:space="preserve">              Адрес склада: МО, Наро-Фоминский р-н, г. Апрелевка, ул. Апрелевская, 65,к.3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</si>
</sst>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_ ;[Red]\-0.000\ "/>
    <numFmt numFmtId="165" formatCode="0.000"/>
    <numFmt numFmtId="166" formatCode="dd/mm/yy;@"/>
  </numFmts>
  <fonts count="33" x14ac:knownFonts="1">
    <font>
      <sz val="11"/>
      <color theme="1"/>
      <name val="Calibri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4"/>
      <name val="Calibri"/>
      <family val="2"/>
      <charset val="204"/>
    </font>
    <font>
      <sz val="14"/>
      <name val="Calibri"/>
      <family val="2"/>
      <charset val="204"/>
      <scheme val="minor"/>
    </font>
    <font>
      <b/>
      <sz val="14"/>
      <color rgb="FFFF0000"/>
      <name val="Calibri"/>
      <family val="2"/>
      <charset val="204"/>
    </font>
    <font>
      <sz val="14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4"/>
      <color theme="1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b/>
      <sz val="16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2" tint="-0.249977111117893"/>
        <bgColor rgb="FFFF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853511154515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7" fillId="0" borderId="0" applyNumberFormat="0"/>
    <xf numFmtId="0" fontId="26" fillId="0" borderId="0"/>
    <xf numFmtId="0" fontId="28" fillId="0" borderId="0"/>
  </cellStyleXfs>
  <cellXfs count="148">
    <xf numFmtId="0" fontId="0" fillId="0" borderId="0" xfId="0"/>
    <xf numFmtId="0" fontId="1" fillId="0" borderId="1" xfId="0" applyFont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1" fillId="4" borderId="1" xfId="0" applyFont="1" applyFill="1" applyBorder="1"/>
    <xf numFmtId="0" fontId="4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164" fontId="4" fillId="4" borderId="6" xfId="0" applyNumberFormat="1" applyFont="1" applyFill="1" applyBorder="1" applyAlignment="1">
      <alignment horizontal="center"/>
    </xf>
    <xf numFmtId="3" fontId="4" fillId="4" borderId="6" xfId="0" applyNumberFormat="1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164" fontId="4" fillId="4" borderId="9" xfId="0" applyNumberFormat="1" applyFont="1" applyFill="1" applyBorder="1" applyAlignment="1">
      <alignment horizontal="center"/>
    </xf>
    <xf numFmtId="3" fontId="4" fillId="4" borderId="9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7" fillId="8" borderId="1" xfId="0" applyFont="1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6" fillId="8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11" fillId="5" borderId="1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2" fontId="11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/>
    </xf>
    <xf numFmtId="3" fontId="11" fillId="5" borderId="1" xfId="0" applyNumberFormat="1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left"/>
    </xf>
    <xf numFmtId="0" fontId="13" fillId="5" borderId="1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/>
    </xf>
    <xf numFmtId="0" fontId="12" fillId="5" borderId="1" xfId="0" applyFont="1" applyFill="1" applyBorder="1" applyAlignment="1">
      <alignment horizontal="center"/>
    </xf>
    <xf numFmtId="165" fontId="14" fillId="5" borderId="1" xfId="0" applyNumberFormat="1" applyFont="1" applyFill="1" applyBorder="1" applyAlignment="1">
      <alignment horizontal="center"/>
    </xf>
    <xf numFmtId="3" fontId="15" fillId="5" borderId="1" xfId="0" applyNumberFormat="1" applyFont="1" applyFill="1" applyBorder="1" applyAlignment="1">
      <alignment horizontal="center"/>
    </xf>
    <xf numFmtId="3" fontId="16" fillId="5" borderId="1" xfId="0" applyNumberFormat="1" applyFont="1" applyFill="1" applyBorder="1" applyAlignment="1">
      <alignment horizontal="center"/>
    </xf>
    <xf numFmtId="0" fontId="7" fillId="5" borderId="13" xfId="0" applyFont="1" applyFill="1" applyBorder="1" applyAlignment="1">
      <alignment horizontal="left"/>
    </xf>
    <xf numFmtId="0" fontId="7" fillId="5" borderId="3" xfId="0" applyFont="1" applyFill="1" applyBorder="1" applyAlignment="1">
      <alignment horizontal="left"/>
    </xf>
    <xf numFmtId="3" fontId="12" fillId="5" borderId="1" xfId="0" applyNumberFormat="1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left"/>
    </xf>
    <xf numFmtId="0" fontId="12" fillId="6" borderId="1" xfId="0" applyFont="1" applyFill="1" applyBorder="1" applyAlignment="1">
      <alignment horizontal="center"/>
    </xf>
    <xf numFmtId="0" fontId="1" fillId="6" borderId="0" xfId="0" applyFont="1" applyFill="1"/>
    <xf numFmtId="165" fontId="14" fillId="6" borderId="1" xfId="0" applyNumberFormat="1" applyFont="1" applyFill="1" applyBorder="1" applyAlignment="1">
      <alignment horizontal="center"/>
    </xf>
    <xf numFmtId="3" fontId="12" fillId="6" borderId="1" xfId="0" applyNumberFormat="1" applyFont="1" applyFill="1" applyBorder="1" applyAlignment="1">
      <alignment horizontal="center"/>
    </xf>
    <xf numFmtId="0" fontId="12" fillId="5" borderId="1" xfId="3" applyFont="1" applyFill="1" applyBorder="1" applyAlignment="1">
      <alignment horizontal="center" vertical="top" wrapText="1"/>
    </xf>
    <xf numFmtId="0" fontId="6" fillId="5" borderId="13" xfId="0" applyFont="1" applyFill="1" applyBorder="1" applyAlignment="1">
      <alignment horizontal="left"/>
    </xf>
    <xf numFmtId="0" fontId="12" fillId="6" borderId="1" xfId="3" applyFont="1" applyFill="1" applyBorder="1" applyAlignment="1">
      <alignment horizontal="center" vertical="top" wrapText="1"/>
    </xf>
    <xf numFmtId="0" fontId="16" fillId="5" borderId="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3" fontId="16" fillId="6" borderId="1" xfId="0" applyNumberFormat="1" applyFont="1" applyFill="1" applyBorder="1" applyAlignment="1">
      <alignment horizontal="center"/>
    </xf>
    <xf numFmtId="0" fontId="17" fillId="5" borderId="13" xfId="0" applyFont="1" applyFill="1" applyBorder="1" applyAlignment="1">
      <alignment horizontal="left"/>
    </xf>
    <xf numFmtId="0" fontId="18" fillId="5" borderId="3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/>
    </xf>
    <xf numFmtId="3" fontId="12" fillId="7" borderId="1" xfId="0" applyNumberFormat="1" applyFont="1" applyFill="1" applyBorder="1" applyAlignment="1">
      <alignment horizontal="center"/>
    </xf>
    <xf numFmtId="0" fontId="7" fillId="5" borderId="14" xfId="0" applyFont="1" applyFill="1" applyBorder="1" applyAlignment="1">
      <alignment horizontal="left"/>
    </xf>
    <xf numFmtId="0" fontId="12" fillId="7" borderId="1" xfId="0" applyFont="1" applyFill="1" applyBorder="1" applyAlignment="1">
      <alignment horizontal="left"/>
    </xf>
    <xf numFmtId="0" fontId="12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left"/>
    </xf>
    <xf numFmtId="0" fontId="11" fillId="6" borderId="1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left"/>
    </xf>
    <xf numFmtId="0" fontId="8" fillId="5" borderId="13" xfId="0" applyFont="1" applyFill="1" applyBorder="1" applyAlignment="1">
      <alignment horizontal="left"/>
    </xf>
    <xf numFmtId="0" fontId="8" fillId="5" borderId="14" xfId="0" applyFont="1" applyFill="1" applyBorder="1" applyAlignment="1">
      <alignment horizontal="left"/>
    </xf>
    <xf numFmtId="0" fontId="17" fillId="5" borderId="14" xfId="0" applyFont="1" applyFill="1" applyBorder="1" applyAlignment="1">
      <alignment horizontal="left"/>
    </xf>
    <xf numFmtId="0" fontId="12" fillId="6" borderId="2" xfId="0" applyFont="1" applyFill="1" applyBorder="1" applyAlignment="1">
      <alignment horizontal="left"/>
    </xf>
    <xf numFmtId="0" fontId="19" fillId="6" borderId="1" xfId="0" applyFont="1" applyFill="1" applyBorder="1" applyAlignment="1">
      <alignment horizontal="center"/>
    </xf>
    <xf numFmtId="0" fontId="16" fillId="5" borderId="1" xfId="0" applyFont="1" applyFill="1" applyBorder="1" applyAlignment="1">
      <alignment horizontal="left"/>
    </xf>
    <xf numFmtId="3" fontId="20" fillId="5" borderId="1" xfId="0" applyNumberFormat="1" applyFont="1" applyFill="1" applyBorder="1" applyAlignment="1">
      <alignment horizontal="center"/>
    </xf>
    <xf numFmtId="0" fontId="21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left"/>
    </xf>
    <xf numFmtId="0" fontId="8" fillId="5" borderId="15" xfId="0" applyFont="1" applyFill="1" applyBorder="1" applyAlignment="1">
      <alignment horizontal="left"/>
    </xf>
    <xf numFmtId="0" fontId="17" fillId="5" borderId="15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left"/>
    </xf>
    <xf numFmtId="0" fontId="0" fillId="5" borderId="13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6" fillId="5" borderId="16" xfId="0" applyFont="1" applyFill="1" applyBorder="1" applyAlignment="1">
      <alignment horizontal="left"/>
    </xf>
    <xf numFmtId="165" fontId="10" fillId="5" borderId="3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0" fillId="5" borderId="16" xfId="0" applyFill="1" applyBorder="1" applyAlignment="1">
      <alignment horizontal="left"/>
    </xf>
    <xf numFmtId="0" fontId="12" fillId="5" borderId="2" xfId="0" applyFont="1" applyFill="1" applyBorder="1" applyAlignment="1">
      <alignment horizontal="left"/>
    </xf>
    <xf numFmtId="3" fontId="16" fillId="7" borderId="1" xfId="0" applyNumberFormat="1" applyFont="1" applyFill="1" applyBorder="1" applyAlignment="1">
      <alignment horizontal="center"/>
    </xf>
    <xf numFmtId="0" fontId="12" fillId="7" borderId="11" xfId="0" applyFont="1" applyFill="1" applyBorder="1" applyAlignment="1">
      <alignment horizontal="left"/>
    </xf>
    <xf numFmtId="0" fontId="0" fillId="5" borderId="17" xfId="0" applyFill="1" applyBorder="1" applyAlignment="1">
      <alignment horizontal="left"/>
    </xf>
    <xf numFmtId="0" fontId="0" fillId="5" borderId="18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left"/>
    </xf>
    <xf numFmtId="0" fontId="0" fillId="5" borderId="20" xfId="0" applyFill="1" applyBorder="1" applyAlignment="1">
      <alignment horizontal="left"/>
    </xf>
    <xf numFmtId="0" fontId="6" fillId="5" borderId="21" xfId="0" applyFont="1" applyFill="1" applyBorder="1" applyAlignment="1">
      <alignment horizontal="left"/>
    </xf>
    <xf numFmtId="0" fontId="12" fillId="5" borderId="2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3" fontId="6" fillId="5" borderId="1" xfId="0" applyNumberFormat="1" applyFont="1" applyFill="1" applyBorder="1" applyAlignment="1">
      <alignment horizontal="left"/>
    </xf>
    <xf numFmtId="0" fontId="16" fillId="7" borderId="1" xfId="0" applyFont="1" applyFill="1" applyBorder="1" applyAlignment="1">
      <alignment horizontal="left"/>
    </xf>
    <xf numFmtId="0" fontId="16" fillId="7" borderId="2" xfId="0" applyFont="1" applyFill="1" applyBorder="1" applyAlignment="1">
      <alignment horizontal="center"/>
    </xf>
    <xf numFmtId="0" fontId="16" fillId="7" borderId="1" xfId="0" applyFont="1" applyFill="1" applyBorder="1" applyAlignment="1">
      <alignment horizontal="center"/>
    </xf>
    <xf numFmtId="49" fontId="12" fillId="5" borderId="1" xfId="0" applyNumberFormat="1" applyFont="1" applyFill="1" applyBorder="1" applyAlignment="1">
      <alignment horizontal="left"/>
    </xf>
    <xf numFmtId="49" fontId="12" fillId="7" borderId="1" xfId="0" applyNumberFormat="1" applyFont="1" applyFill="1" applyBorder="1" applyAlignment="1">
      <alignment horizontal="left"/>
    </xf>
    <xf numFmtId="0" fontId="17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3" fontId="1" fillId="5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3" fontId="1" fillId="7" borderId="1" xfId="0" applyNumberFormat="1" applyFont="1" applyFill="1" applyBorder="1" applyAlignment="1">
      <alignment horizontal="center"/>
    </xf>
    <xf numFmtId="0" fontId="12" fillId="5" borderId="2" xfId="3" applyFont="1" applyFill="1" applyBorder="1" applyAlignment="1">
      <alignment horizontal="center" vertical="top" wrapText="1"/>
    </xf>
    <xf numFmtId="0" fontId="23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4" fillId="5" borderId="1" xfId="0" applyFont="1" applyFill="1" applyBorder="1" applyAlignment="1">
      <alignment horizontal="left"/>
    </xf>
    <xf numFmtId="3" fontId="1" fillId="5" borderId="1" xfId="0" applyNumberFormat="1" applyFont="1" applyFill="1" applyBorder="1" applyAlignment="1">
      <alignment horizontal="left"/>
    </xf>
    <xf numFmtId="0" fontId="2" fillId="5" borderId="11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left"/>
    </xf>
    <xf numFmtId="0" fontId="22" fillId="5" borderId="1" xfId="0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3" fillId="5" borderId="1" xfId="0" applyFont="1" applyFill="1" applyBorder="1" applyAlignment="1">
      <alignment horizontal="left"/>
    </xf>
    <xf numFmtId="166" fontId="25" fillId="0" borderId="0" xfId="0" applyNumberFormat="1" applyFont="1" applyAlignment="1">
      <alignment horizontal="center"/>
    </xf>
    <xf numFmtId="0" fontId="12" fillId="9" borderId="1" xfId="0" applyFont="1" applyFill="1" applyBorder="1" applyAlignment="1">
      <alignment horizontal="left"/>
    </xf>
    <xf numFmtId="0" fontId="12" fillId="9" borderId="1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 vertical="center" wrapText="1"/>
    </xf>
    <xf numFmtId="3" fontId="12" fillId="9" borderId="1" xfId="0" applyNumberFormat="1" applyFont="1" applyFill="1" applyBorder="1" applyAlignment="1">
      <alignment horizontal="center"/>
    </xf>
    <xf numFmtId="0" fontId="12" fillId="9" borderId="11" xfId="0" applyFont="1" applyFill="1" applyBorder="1" applyAlignment="1">
      <alignment horizontal="left"/>
    </xf>
    <xf numFmtId="0" fontId="16" fillId="9" borderId="1" xfId="0" applyFont="1" applyFill="1" applyBorder="1" applyAlignment="1">
      <alignment horizontal="center"/>
    </xf>
    <xf numFmtId="0" fontId="21" fillId="9" borderId="1" xfId="0" applyFont="1" applyFill="1" applyBorder="1" applyAlignment="1">
      <alignment horizontal="center" vertical="center" wrapText="1"/>
    </xf>
    <xf numFmtId="3" fontId="16" fillId="9" borderId="1" xfId="0" applyNumberFormat="1" applyFont="1" applyFill="1" applyBorder="1" applyAlignment="1">
      <alignment horizontal="center"/>
    </xf>
    <xf numFmtId="165" fontId="29" fillId="5" borderId="1" xfId="0" applyNumberFormat="1" applyFont="1" applyFill="1" applyBorder="1" applyAlignment="1">
      <alignment horizontal="center" vertical="center"/>
    </xf>
    <xf numFmtId="165" fontId="30" fillId="5" borderId="1" xfId="0" applyNumberFormat="1" applyFont="1" applyFill="1" applyBorder="1" applyAlignment="1">
      <alignment horizontal="center"/>
    </xf>
    <xf numFmtId="165" fontId="30" fillId="6" borderId="1" xfId="0" applyNumberFormat="1" applyFont="1" applyFill="1" applyBorder="1" applyAlignment="1">
      <alignment horizontal="center"/>
    </xf>
    <xf numFmtId="165" fontId="30" fillId="7" borderId="1" xfId="0" applyNumberFormat="1" applyFont="1" applyFill="1" applyBorder="1" applyAlignment="1">
      <alignment horizontal="center"/>
    </xf>
    <xf numFmtId="165" fontId="30" fillId="9" borderId="1" xfId="0" applyNumberFormat="1" applyFont="1" applyFill="1" applyBorder="1" applyAlignment="1">
      <alignment horizontal="center"/>
    </xf>
    <xf numFmtId="165" fontId="31" fillId="5" borderId="1" xfId="0" applyNumberFormat="1" applyFont="1" applyFill="1" applyBorder="1" applyAlignment="1">
      <alignment horizontal="center"/>
    </xf>
    <xf numFmtId="165" fontId="31" fillId="7" borderId="1" xfId="0" applyNumberFormat="1" applyFont="1" applyFill="1" applyBorder="1" applyAlignment="1">
      <alignment horizontal="center"/>
    </xf>
    <xf numFmtId="165" fontId="32" fillId="5" borderId="1" xfId="0" applyNumberFormat="1" applyFont="1" applyFill="1" applyBorder="1" applyAlignment="1">
      <alignment horizontal="left"/>
    </xf>
    <xf numFmtId="165" fontId="14" fillId="7" borderId="1" xfId="0" applyNumberFormat="1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9" fillId="5" borderId="10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31000000}"/>
    <cellStyle name="Обычный 5" xfId="2" xr:uid="{00000000-0005-0000-0000-000032000000}"/>
    <cellStyle name="Обычный_Лист1" xfId="3" xr:uid="{00000000-0005-0000-0000-000033000000}"/>
  </cellStyles>
  <dxfs count="5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BP615"/>
  <sheetViews>
    <sheetView tabSelected="1" zoomScale="75" zoomScaleNormal="75" workbookViewId="0">
      <pane ySplit="3" topLeftCell="A4" activePane="bottomLeft" state="frozen"/>
      <selection pane="bottomLeft" activeCell="E18" sqref="E18"/>
    </sheetView>
  </sheetViews>
  <sheetFormatPr defaultColWidth="8" defaultRowHeight="15" x14ac:dyDescent="0.25"/>
  <cols>
    <col min="1" max="1" width="8" style="27"/>
    <col min="2" max="2" width="13.42578125" style="17" customWidth="1"/>
    <col min="3" max="3" width="26.7109375" style="27" customWidth="1"/>
    <col min="4" max="4" width="22.85546875" style="27" customWidth="1"/>
    <col min="5" max="5" width="21" style="27" customWidth="1"/>
    <col min="6" max="6" width="63.140625" style="27" customWidth="1"/>
    <col min="7" max="7" width="17.42578125" style="141" customWidth="1"/>
    <col min="8" max="8" width="15.28515625" style="27" customWidth="1"/>
    <col min="9" max="9" width="19.7109375" style="27" customWidth="1"/>
    <col min="10" max="10" width="24.42578125" style="27" customWidth="1"/>
    <col min="11" max="11" width="20.7109375" style="27" customWidth="1"/>
    <col min="12" max="12" width="31" style="27" customWidth="1"/>
    <col min="13" max="13" width="17.42578125" style="27" customWidth="1"/>
    <col min="14" max="16384" width="8" style="27"/>
  </cols>
  <sheetData>
    <row r="1" spans="1:68" ht="57.75" customHeight="1" x14ac:dyDescent="0.25">
      <c r="A1" s="146" t="s">
        <v>394</v>
      </c>
      <c r="B1" s="146"/>
      <c r="C1" s="146"/>
      <c r="D1" s="146"/>
      <c r="E1" s="146"/>
      <c r="F1" s="146"/>
      <c r="G1" s="146"/>
      <c r="H1" s="146"/>
      <c r="I1" s="146"/>
      <c r="J1" s="147"/>
    </row>
    <row r="2" spans="1:68" ht="60.75" customHeight="1" x14ac:dyDescent="0.25">
      <c r="A2" s="143" t="s">
        <v>395</v>
      </c>
      <c r="B2" s="143"/>
      <c r="C2" s="143"/>
      <c r="D2" s="143"/>
      <c r="E2" s="143"/>
      <c r="F2" s="143"/>
      <c r="G2" s="143"/>
      <c r="H2" s="143"/>
      <c r="I2" s="143"/>
      <c r="J2" s="144"/>
    </row>
    <row r="3" spans="1:68" s="17" customFormat="1" ht="63" x14ac:dyDescent="0.25">
      <c r="B3" s="28" t="s">
        <v>0</v>
      </c>
      <c r="C3" s="29" t="s">
        <v>1</v>
      </c>
      <c r="D3" s="30" t="s">
        <v>2</v>
      </c>
      <c r="E3" s="30" t="s">
        <v>3</v>
      </c>
      <c r="F3" s="30" t="s">
        <v>4</v>
      </c>
      <c r="G3" s="134" t="s">
        <v>5</v>
      </c>
      <c r="H3" s="28" t="s">
        <v>6</v>
      </c>
      <c r="I3" s="31" t="s">
        <v>7</v>
      </c>
      <c r="J3" s="30" t="s">
        <v>8</v>
      </c>
      <c r="K3" s="32" t="s">
        <v>9</v>
      </c>
    </row>
    <row r="4" spans="1:68" s="17" customFormat="1" ht="21" x14ac:dyDescent="0.3">
      <c r="B4" s="33" t="s">
        <v>10</v>
      </c>
      <c r="C4" s="29" t="s">
        <v>11</v>
      </c>
      <c r="D4" s="30" t="s">
        <v>12</v>
      </c>
      <c r="E4" s="28">
        <v>565</v>
      </c>
      <c r="F4" s="30" t="s">
        <v>13</v>
      </c>
      <c r="G4" s="134">
        <v>0.69599999999999995</v>
      </c>
      <c r="H4" s="28" t="s">
        <v>14</v>
      </c>
      <c r="I4" s="34">
        <v>430000</v>
      </c>
      <c r="J4" s="35" t="s">
        <v>15</v>
      </c>
      <c r="K4" s="36"/>
      <c r="L4" s="37"/>
    </row>
    <row r="5" spans="1:68" s="17" customFormat="1" ht="21" x14ac:dyDescent="0.3">
      <c r="B5" s="33" t="s">
        <v>10</v>
      </c>
      <c r="C5" s="29" t="s">
        <v>11</v>
      </c>
      <c r="D5" s="30" t="s">
        <v>16</v>
      </c>
      <c r="E5" s="28">
        <v>560</v>
      </c>
      <c r="F5" s="30" t="s">
        <v>13</v>
      </c>
      <c r="G5" s="134">
        <v>0.67400000000000004</v>
      </c>
      <c r="H5" s="28" t="s">
        <v>14</v>
      </c>
      <c r="I5" s="34">
        <v>430000</v>
      </c>
      <c r="J5" s="35" t="s">
        <v>15</v>
      </c>
      <c r="K5" s="36"/>
      <c r="L5" s="37"/>
    </row>
    <row r="6" spans="1:68" s="17" customFormat="1" ht="21" x14ac:dyDescent="0.3">
      <c r="B6" s="33" t="s">
        <v>10</v>
      </c>
      <c r="C6" s="29" t="s">
        <v>11</v>
      </c>
      <c r="D6" s="30" t="s">
        <v>17</v>
      </c>
      <c r="E6" s="28">
        <v>565</v>
      </c>
      <c r="F6" s="30" t="s">
        <v>13</v>
      </c>
      <c r="G6" s="134">
        <v>0.67700000000000005</v>
      </c>
      <c r="H6" s="28" t="s">
        <v>14</v>
      </c>
      <c r="I6" s="34">
        <v>430000</v>
      </c>
      <c r="J6" s="35" t="s">
        <v>15</v>
      </c>
      <c r="K6" s="36"/>
      <c r="L6" s="37"/>
    </row>
    <row r="7" spans="1:68" s="17" customFormat="1" ht="21" x14ac:dyDescent="0.3">
      <c r="B7" s="33" t="s">
        <v>10</v>
      </c>
      <c r="C7" s="29" t="s">
        <v>11</v>
      </c>
      <c r="D7" s="30" t="s">
        <v>16</v>
      </c>
      <c r="E7" s="28">
        <v>590</v>
      </c>
      <c r="F7" s="30" t="s">
        <v>13</v>
      </c>
      <c r="G7" s="134">
        <v>0.70399999999999996</v>
      </c>
      <c r="H7" s="28" t="s">
        <v>14</v>
      </c>
      <c r="I7" s="34">
        <v>430000</v>
      </c>
      <c r="J7" s="35" t="s">
        <v>15</v>
      </c>
      <c r="K7" s="36"/>
      <c r="L7" s="37"/>
    </row>
    <row r="8" spans="1:68" s="18" customFormat="1" ht="19.5" customHeight="1" x14ac:dyDescent="0.3">
      <c r="B8" s="33" t="s">
        <v>18</v>
      </c>
      <c r="C8" s="38" t="s">
        <v>19</v>
      </c>
      <c r="D8" s="38">
        <v>80</v>
      </c>
      <c r="E8" s="38"/>
      <c r="F8" s="38"/>
      <c r="G8" s="135">
        <v>0.124</v>
      </c>
      <c r="H8" s="40" t="s">
        <v>20</v>
      </c>
      <c r="I8" s="41">
        <v>190000</v>
      </c>
      <c r="J8" s="35" t="s">
        <v>15</v>
      </c>
      <c r="K8" s="42"/>
      <c r="L8" s="43"/>
    </row>
    <row r="9" spans="1:68" s="18" customFormat="1" ht="19.5" customHeight="1" x14ac:dyDescent="0.3">
      <c r="B9" s="33" t="s">
        <v>18</v>
      </c>
      <c r="C9" s="38" t="s">
        <v>21</v>
      </c>
      <c r="D9" s="38">
        <v>90</v>
      </c>
      <c r="E9" s="38"/>
      <c r="F9" s="38" t="s">
        <v>22</v>
      </c>
      <c r="G9" s="135">
        <v>6.3E-2</v>
      </c>
      <c r="H9" s="28" t="s">
        <v>14</v>
      </c>
      <c r="I9" s="44">
        <v>350000</v>
      </c>
      <c r="J9" s="35" t="s">
        <v>15</v>
      </c>
      <c r="K9" s="42"/>
      <c r="L9" s="43"/>
    </row>
    <row r="10" spans="1:68" s="18" customFormat="1" ht="19.5" customHeight="1" x14ac:dyDescent="0.3">
      <c r="B10" s="33" t="s">
        <v>23</v>
      </c>
      <c r="C10" s="38" t="s">
        <v>24</v>
      </c>
      <c r="D10" s="38" t="s">
        <v>25</v>
      </c>
      <c r="E10" s="38"/>
      <c r="F10" s="38"/>
      <c r="G10" s="135">
        <v>2.1</v>
      </c>
      <c r="H10" s="45" t="s">
        <v>26</v>
      </c>
      <c r="I10" s="44">
        <v>1700000</v>
      </c>
      <c r="J10" s="33" t="s">
        <v>15</v>
      </c>
      <c r="K10" s="42"/>
      <c r="L10" s="43"/>
    </row>
    <row r="11" spans="1:68" s="18" customFormat="1" ht="19.5" customHeight="1" x14ac:dyDescent="0.3">
      <c r="B11" s="46" t="s">
        <v>23</v>
      </c>
      <c r="C11" s="47" t="s">
        <v>27</v>
      </c>
      <c r="D11" s="47" t="s">
        <v>28</v>
      </c>
      <c r="E11" s="47"/>
      <c r="F11" s="48" t="s">
        <v>29</v>
      </c>
      <c r="G11" s="136">
        <v>3.3</v>
      </c>
      <c r="H11" s="28" t="s">
        <v>14</v>
      </c>
      <c r="I11" s="50">
        <v>1700000</v>
      </c>
      <c r="J11" s="46" t="s">
        <v>30</v>
      </c>
      <c r="K11" s="42"/>
      <c r="L11" s="43"/>
    </row>
    <row r="12" spans="1:68" s="17" customFormat="1" ht="19.5" customHeight="1" x14ac:dyDescent="0.3">
      <c r="B12" s="33" t="s">
        <v>31</v>
      </c>
      <c r="C12" s="51" t="s">
        <v>32</v>
      </c>
      <c r="D12" s="38" t="s">
        <v>33</v>
      </c>
      <c r="E12" s="38"/>
      <c r="F12" s="38" t="s">
        <v>34</v>
      </c>
      <c r="G12" s="135">
        <v>0.246</v>
      </c>
      <c r="H12" s="28" t="s">
        <v>14</v>
      </c>
      <c r="I12" s="44">
        <v>1500000</v>
      </c>
      <c r="J12" s="33" t="s">
        <v>15</v>
      </c>
      <c r="K12" s="52"/>
      <c r="L12" s="43"/>
      <c r="M12" s="18"/>
      <c r="N12" s="18"/>
      <c r="O12" s="18"/>
      <c r="P12" s="18"/>
      <c r="Q12" s="18"/>
      <c r="R12" s="18"/>
    </row>
    <row r="13" spans="1:68" s="17" customFormat="1" ht="19.5" customHeight="1" x14ac:dyDescent="0.3">
      <c r="B13" s="33" t="s">
        <v>31</v>
      </c>
      <c r="C13" s="51" t="s">
        <v>35</v>
      </c>
      <c r="D13" s="38" t="s">
        <v>36</v>
      </c>
      <c r="E13" s="38"/>
      <c r="F13" s="38" t="s">
        <v>37</v>
      </c>
      <c r="G13" s="135">
        <v>0.88900000000000001</v>
      </c>
      <c r="H13" s="28" t="s">
        <v>14</v>
      </c>
      <c r="I13" s="44">
        <v>1500000</v>
      </c>
      <c r="J13" s="33" t="s">
        <v>15</v>
      </c>
      <c r="K13" s="52"/>
      <c r="L13" s="37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</row>
    <row r="14" spans="1:68" s="17" customFormat="1" ht="19.5" customHeight="1" x14ac:dyDescent="0.3">
      <c r="B14" s="33" t="s">
        <v>31</v>
      </c>
      <c r="C14" s="51" t="s">
        <v>35</v>
      </c>
      <c r="D14" s="38" t="s">
        <v>38</v>
      </c>
      <c r="E14" s="38"/>
      <c r="F14" s="38" t="s">
        <v>34</v>
      </c>
      <c r="G14" s="135">
        <v>0.32100000000000001</v>
      </c>
      <c r="H14" s="28" t="s">
        <v>14</v>
      </c>
      <c r="I14" s="44">
        <v>1500000</v>
      </c>
      <c r="J14" s="33" t="s">
        <v>15</v>
      </c>
      <c r="K14" s="52"/>
      <c r="L14" s="37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</row>
    <row r="15" spans="1:68" s="17" customFormat="1" ht="19.5" customHeight="1" x14ac:dyDescent="0.3">
      <c r="B15" s="33" t="s">
        <v>31</v>
      </c>
      <c r="C15" s="51" t="s">
        <v>35</v>
      </c>
      <c r="D15" s="38" t="s">
        <v>39</v>
      </c>
      <c r="E15" s="38"/>
      <c r="F15" s="38" t="s">
        <v>34</v>
      </c>
      <c r="G15" s="135">
        <v>0.372</v>
      </c>
      <c r="H15" s="28" t="s">
        <v>14</v>
      </c>
      <c r="I15" s="44">
        <v>1500000</v>
      </c>
      <c r="J15" s="33" t="s">
        <v>15</v>
      </c>
      <c r="K15" s="52"/>
      <c r="L15" s="37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</row>
    <row r="16" spans="1:68" s="17" customFormat="1" ht="19.5" customHeight="1" x14ac:dyDescent="0.3">
      <c r="B16" s="46" t="s">
        <v>40</v>
      </c>
      <c r="C16" s="53" t="s">
        <v>41</v>
      </c>
      <c r="D16" s="47">
        <v>32</v>
      </c>
      <c r="E16" s="47"/>
      <c r="F16" s="47"/>
      <c r="G16" s="136">
        <v>6.2E-2</v>
      </c>
      <c r="H16" s="28" t="s">
        <v>14</v>
      </c>
      <c r="I16" s="50">
        <v>760000</v>
      </c>
      <c r="J16" s="46" t="s">
        <v>15</v>
      </c>
      <c r="K16" s="52"/>
      <c r="L16" s="37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</row>
    <row r="17" spans="2:68" s="17" customFormat="1" ht="19.5" customHeight="1" x14ac:dyDescent="0.3">
      <c r="B17" s="46" t="s">
        <v>40</v>
      </c>
      <c r="C17" s="53" t="s">
        <v>41</v>
      </c>
      <c r="D17" s="47">
        <v>36</v>
      </c>
      <c r="E17" s="47"/>
      <c r="F17" s="47"/>
      <c r="G17" s="136">
        <v>6.3E-2</v>
      </c>
      <c r="H17" s="28" t="s">
        <v>14</v>
      </c>
      <c r="I17" s="50">
        <v>750000</v>
      </c>
      <c r="J17" s="46" t="s">
        <v>15</v>
      </c>
      <c r="K17" s="52"/>
      <c r="L17" s="37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</row>
    <row r="18" spans="2:68" s="17" customFormat="1" ht="19.5" customHeight="1" x14ac:dyDescent="0.3">
      <c r="B18" s="46" t="s">
        <v>40</v>
      </c>
      <c r="C18" s="53" t="s">
        <v>41</v>
      </c>
      <c r="D18" s="47">
        <v>38</v>
      </c>
      <c r="E18" s="47"/>
      <c r="F18" s="47"/>
      <c r="G18" s="136">
        <v>7.0000000000000007E-2</v>
      </c>
      <c r="H18" s="28" t="s">
        <v>14</v>
      </c>
      <c r="I18" s="50">
        <v>760000</v>
      </c>
      <c r="J18" s="46" t="s">
        <v>15</v>
      </c>
      <c r="K18" s="52"/>
      <c r="L18" s="37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</row>
    <row r="19" spans="2:68" s="17" customFormat="1" ht="19.5" customHeight="1" x14ac:dyDescent="0.3">
      <c r="B19" s="46" t="s">
        <v>40</v>
      </c>
      <c r="C19" s="53" t="s">
        <v>41</v>
      </c>
      <c r="D19" s="47">
        <v>40</v>
      </c>
      <c r="E19" s="47"/>
      <c r="F19" s="47"/>
      <c r="G19" s="136">
        <v>8.4000000000000005E-2</v>
      </c>
      <c r="H19" s="28" t="s">
        <v>14</v>
      </c>
      <c r="I19" s="50">
        <v>750000</v>
      </c>
      <c r="J19" s="46" t="s">
        <v>15</v>
      </c>
      <c r="K19" s="52"/>
      <c r="L19" s="37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</row>
    <row r="20" spans="2:68" s="17" customFormat="1" ht="19.5" customHeight="1" x14ac:dyDescent="0.3">
      <c r="B20" s="46" t="s">
        <v>40</v>
      </c>
      <c r="C20" s="53" t="s">
        <v>41</v>
      </c>
      <c r="D20" s="47">
        <v>45</v>
      </c>
      <c r="E20" s="47"/>
      <c r="F20" s="47"/>
      <c r="G20" s="136">
        <v>0.06</v>
      </c>
      <c r="H20" s="28" t="s">
        <v>14</v>
      </c>
      <c r="I20" s="50">
        <v>750000</v>
      </c>
      <c r="J20" s="46" t="s">
        <v>15</v>
      </c>
      <c r="K20" s="52"/>
      <c r="L20" s="37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</row>
    <row r="21" spans="2:68" s="17" customFormat="1" ht="19.5" customHeight="1" x14ac:dyDescent="0.3">
      <c r="B21" s="46" t="s">
        <v>40</v>
      </c>
      <c r="C21" s="53" t="s">
        <v>41</v>
      </c>
      <c r="D21" s="47">
        <v>50</v>
      </c>
      <c r="E21" s="47"/>
      <c r="F21" s="47"/>
      <c r="G21" s="136">
        <v>0.05</v>
      </c>
      <c r="H21" s="28" t="s">
        <v>14</v>
      </c>
      <c r="I21" s="50">
        <v>760000</v>
      </c>
      <c r="J21" s="46" t="s">
        <v>15</v>
      </c>
      <c r="K21" s="52"/>
      <c r="L21" s="37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</row>
    <row r="22" spans="2:68" s="17" customFormat="1" ht="19.5" customHeight="1" x14ac:dyDescent="0.3">
      <c r="B22" s="46" t="s">
        <v>40</v>
      </c>
      <c r="C22" s="53" t="s">
        <v>41</v>
      </c>
      <c r="D22" s="47">
        <v>56</v>
      </c>
      <c r="E22" s="47"/>
      <c r="F22" s="47"/>
      <c r="G22" s="136">
        <v>7.9000000000000001E-2</v>
      </c>
      <c r="H22" s="28" t="s">
        <v>14</v>
      </c>
      <c r="I22" s="50">
        <v>750000</v>
      </c>
      <c r="J22" s="46" t="s">
        <v>15</v>
      </c>
      <c r="K22" s="52"/>
      <c r="L22" s="37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</row>
    <row r="23" spans="2:68" s="17" customFormat="1" ht="19.5" customHeight="1" x14ac:dyDescent="0.3">
      <c r="B23" s="46" t="s">
        <v>40</v>
      </c>
      <c r="C23" s="53" t="s">
        <v>41</v>
      </c>
      <c r="D23" s="47">
        <v>65</v>
      </c>
      <c r="E23" s="47"/>
      <c r="F23" s="47"/>
      <c r="G23" s="136">
        <v>0.109</v>
      </c>
      <c r="H23" s="28" t="s">
        <v>14</v>
      </c>
      <c r="I23" s="50">
        <v>750000</v>
      </c>
      <c r="J23" s="46" t="s">
        <v>15</v>
      </c>
      <c r="K23" s="52"/>
      <c r="L23" s="37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</row>
    <row r="24" spans="2:68" s="17" customFormat="1" ht="19.5" customHeight="1" x14ac:dyDescent="0.3">
      <c r="B24" s="46" t="s">
        <v>40</v>
      </c>
      <c r="C24" s="53" t="s">
        <v>41</v>
      </c>
      <c r="D24" s="47">
        <v>70</v>
      </c>
      <c r="E24" s="47"/>
      <c r="F24" s="47"/>
      <c r="G24" s="136">
        <v>0.108</v>
      </c>
      <c r="H24" s="28" t="s">
        <v>14</v>
      </c>
      <c r="I24" s="50">
        <v>750000</v>
      </c>
      <c r="J24" s="46" t="s">
        <v>15</v>
      </c>
      <c r="K24" s="52"/>
      <c r="L24" s="37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</row>
    <row r="25" spans="2:68" s="17" customFormat="1" ht="19.5" customHeight="1" x14ac:dyDescent="0.3">
      <c r="B25" s="46" t="s">
        <v>40</v>
      </c>
      <c r="C25" s="53" t="s">
        <v>41</v>
      </c>
      <c r="D25" s="47">
        <v>80</v>
      </c>
      <c r="E25" s="47"/>
      <c r="F25" s="47"/>
      <c r="G25" s="136">
        <v>0.14399999999999999</v>
      </c>
      <c r="H25" s="28" t="s">
        <v>14</v>
      </c>
      <c r="I25" s="50">
        <v>750000</v>
      </c>
      <c r="J25" s="46" t="s">
        <v>15</v>
      </c>
      <c r="K25" s="52"/>
      <c r="L25" s="37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</row>
    <row r="26" spans="2:68" s="17" customFormat="1" ht="19.5" customHeight="1" x14ac:dyDescent="0.3">
      <c r="B26" s="46" t="s">
        <v>40</v>
      </c>
      <c r="C26" s="53" t="s">
        <v>41</v>
      </c>
      <c r="D26" s="47">
        <v>90</v>
      </c>
      <c r="E26" s="47"/>
      <c r="F26" s="47"/>
      <c r="G26" s="136">
        <v>0.17599999999999999</v>
      </c>
      <c r="H26" s="28" t="s">
        <v>14</v>
      </c>
      <c r="I26" s="50">
        <v>750000</v>
      </c>
      <c r="J26" s="46" t="s">
        <v>15</v>
      </c>
      <c r="K26" s="52"/>
      <c r="L26" s="37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</row>
    <row r="27" spans="2:68" s="17" customFormat="1" ht="19.5" customHeight="1" x14ac:dyDescent="0.3">
      <c r="B27" s="46" t="s">
        <v>40</v>
      </c>
      <c r="C27" s="53" t="s">
        <v>41</v>
      </c>
      <c r="D27" s="47">
        <v>100</v>
      </c>
      <c r="E27" s="47"/>
      <c r="F27" s="47"/>
      <c r="G27" s="136">
        <v>0.32400000000000001</v>
      </c>
      <c r="H27" s="28" t="s">
        <v>14</v>
      </c>
      <c r="I27" s="50">
        <v>750000</v>
      </c>
      <c r="J27" s="46" t="s">
        <v>15</v>
      </c>
      <c r="K27" s="52"/>
      <c r="L27" s="37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</row>
    <row r="28" spans="2:68" s="17" customFormat="1" ht="19.5" customHeight="1" x14ac:dyDescent="0.3">
      <c r="B28" s="33" t="s">
        <v>42</v>
      </c>
      <c r="C28" s="54" t="s">
        <v>43</v>
      </c>
      <c r="D28" s="38">
        <v>225</v>
      </c>
      <c r="E28" s="38"/>
      <c r="F28" s="38"/>
      <c r="G28" s="135">
        <v>1</v>
      </c>
      <c r="H28" s="28" t="s">
        <v>14</v>
      </c>
      <c r="I28" s="41">
        <v>645000</v>
      </c>
      <c r="J28" s="35" t="s">
        <v>15</v>
      </c>
      <c r="K28" s="52"/>
      <c r="L28" s="37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</row>
    <row r="29" spans="2:68" s="17" customFormat="1" ht="19.5" customHeight="1" x14ac:dyDescent="0.3">
      <c r="B29" s="33" t="s">
        <v>42</v>
      </c>
      <c r="C29" s="54" t="s">
        <v>43</v>
      </c>
      <c r="D29" s="38">
        <v>230</v>
      </c>
      <c r="E29" s="38"/>
      <c r="F29" s="38"/>
      <c r="G29" s="135">
        <v>1.1180000000000001</v>
      </c>
      <c r="H29" s="28" t="s">
        <v>14</v>
      </c>
      <c r="I29" s="41">
        <v>645000</v>
      </c>
      <c r="J29" s="35" t="s">
        <v>15</v>
      </c>
      <c r="K29" s="52"/>
      <c r="L29" s="37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</row>
    <row r="30" spans="2:68" s="17" customFormat="1" ht="19.5" customHeight="1" x14ac:dyDescent="0.3">
      <c r="B30" s="33" t="s">
        <v>42</v>
      </c>
      <c r="C30" s="54" t="s">
        <v>43</v>
      </c>
      <c r="D30" s="38">
        <v>245</v>
      </c>
      <c r="E30" s="38"/>
      <c r="F30" s="38"/>
      <c r="G30" s="135">
        <v>1.175</v>
      </c>
      <c r="H30" s="28" t="s">
        <v>14</v>
      </c>
      <c r="I30" s="41">
        <v>645000</v>
      </c>
      <c r="J30" s="35" t="s">
        <v>15</v>
      </c>
      <c r="K30" s="52"/>
      <c r="L30" s="37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</row>
    <row r="31" spans="2:68" s="17" customFormat="1" ht="19.5" customHeight="1" x14ac:dyDescent="0.3">
      <c r="B31" s="33" t="s">
        <v>42</v>
      </c>
      <c r="C31" s="54" t="s">
        <v>43</v>
      </c>
      <c r="D31" s="54">
        <v>250</v>
      </c>
      <c r="E31" s="54"/>
      <c r="F31" s="55"/>
      <c r="G31" s="135">
        <v>1.0649999999999999</v>
      </c>
      <c r="H31" s="28" t="s">
        <v>14</v>
      </c>
      <c r="I31" s="41">
        <v>645000</v>
      </c>
      <c r="J31" s="35" t="s">
        <v>15</v>
      </c>
      <c r="K31" s="52"/>
      <c r="L31" s="37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</row>
    <row r="32" spans="2:68" s="17" customFormat="1" ht="19.5" customHeight="1" x14ac:dyDescent="0.3">
      <c r="B32" s="46" t="s">
        <v>40</v>
      </c>
      <c r="C32" s="56" t="s">
        <v>44</v>
      </c>
      <c r="D32" s="56">
        <v>10</v>
      </c>
      <c r="E32" s="56"/>
      <c r="F32" s="57"/>
      <c r="G32" s="136">
        <v>4.3999999999999997E-2</v>
      </c>
      <c r="H32" s="28" t="s">
        <v>14</v>
      </c>
      <c r="I32" s="58">
        <v>900000</v>
      </c>
      <c r="J32" s="46" t="s">
        <v>15</v>
      </c>
      <c r="K32" s="52"/>
      <c r="L32" s="37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</row>
    <row r="33" spans="2:68" s="17" customFormat="1" ht="19.5" customHeight="1" x14ac:dyDescent="0.3">
      <c r="B33" s="46" t="s">
        <v>40</v>
      </c>
      <c r="C33" s="56" t="s">
        <v>44</v>
      </c>
      <c r="D33" s="56">
        <v>18</v>
      </c>
      <c r="E33" s="56"/>
      <c r="F33" s="57"/>
      <c r="G33" s="136">
        <v>0.04</v>
      </c>
      <c r="H33" s="28" t="s">
        <v>14</v>
      </c>
      <c r="I33" s="58">
        <v>900000</v>
      </c>
      <c r="J33" s="46" t="s">
        <v>15</v>
      </c>
      <c r="K33" s="52"/>
      <c r="L33" s="37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</row>
    <row r="34" spans="2:68" s="17" customFormat="1" ht="19.5" customHeight="1" x14ac:dyDescent="0.3">
      <c r="B34" s="46" t="s">
        <v>40</v>
      </c>
      <c r="C34" s="56" t="s">
        <v>44</v>
      </c>
      <c r="D34" s="56">
        <v>20</v>
      </c>
      <c r="E34" s="56"/>
      <c r="F34" s="57"/>
      <c r="G34" s="136">
        <v>4.9000000000000002E-2</v>
      </c>
      <c r="H34" s="28" t="s">
        <v>14</v>
      </c>
      <c r="I34" s="58">
        <v>900000</v>
      </c>
      <c r="J34" s="46" t="s">
        <v>15</v>
      </c>
      <c r="K34" s="52"/>
      <c r="L34" s="37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</row>
    <row r="35" spans="2:68" s="17" customFormat="1" ht="19.5" customHeight="1" x14ac:dyDescent="0.3">
      <c r="B35" s="46" t="s">
        <v>40</v>
      </c>
      <c r="C35" s="56" t="s">
        <v>44</v>
      </c>
      <c r="D35" s="56">
        <v>25</v>
      </c>
      <c r="E35" s="56"/>
      <c r="F35" s="57"/>
      <c r="G35" s="136">
        <v>5.6000000000000001E-2</v>
      </c>
      <c r="H35" s="28" t="s">
        <v>14</v>
      </c>
      <c r="I35" s="58">
        <v>900000</v>
      </c>
      <c r="J35" s="46" t="s">
        <v>15</v>
      </c>
      <c r="K35" s="52"/>
      <c r="L35" s="37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</row>
    <row r="36" spans="2:68" s="17" customFormat="1" ht="19.5" customHeight="1" x14ac:dyDescent="0.3">
      <c r="B36" s="46" t="s">
        <v>40</v>
      </c>
      <c r="C36" s="56" t="s">
        <v>44</v>
      </c>
      <c r="D36" s="56">
        <v>30</v>
      </c>
      <c r="E36" s="56"/>
      <c r="F36" s="57"/>
      <c r="G36" s="136">
        <v>2.5000000000000001E-2</v>
      </c>
      <c r="H36" s="28" t="s">
        <v>14</v>
      </c>
      <c r="I36" s="58">
        <v>900000</v>
      </c>
      <c r="J36" s="46" t="s">
        <v>15</v>
      </c>
      <c r="K36" s="52"/>
      <c r="L36" s="37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</row>
    <row r="37" spans="2:68" s="17" customFormat="1" ht="19.5" customHeight="1" x14ac:dyDescent="0.3">
      <c r="B37" s="46" t="s">
        <v>40</v>
      </c>
      <c r="C37" s="56" t="s">
        <v>44</v>
      </c>
      <c r="D37" s="56">
        <v>36</v>
      </c>
      <c r="E37" s="56"/>
      <c r="F37" s="57"/>
      <c r="G37" s="136">
        <v>8.2000000000000003E-2</v>
      </c>
      <c r="H37" s="28" t="s">
        <v>14</v>
      </c>
      <c r="I37" s="58">
        <v>870000</v>
      </c>
      <c r="J37" s="46" t="s">
        <v>15</v>
      </c>
      <c r="K37" s="52"/>
      <c r="L37" s="37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</row>
    <row r="38" spans="2:68" s="17" customFormat="1" ht="19.5" customHeight="1" x14ac:dyDescent="0.3">
      <c r="B38" s="46" t="s">
        <v>40</v>
      </c>
      <c r="C38" s="56" t="s">
        <v>44</v>
      </c>
      <c r="D38" s="56">
        <v>40</v>
      </c>
      <c r="E38" s="56"/>
      <c r="F38" s="57"/>
      <c r="G38" s="136">
        <v>7.9000000000000001E-2</v>
      </c>
      <c r="H38" s="28" t="s">
        <v>14</v>
      </c>
      <c r="I38" s="58">
        <v>850000</v>
      </c>
      <c r="J38" s="46" t="s">
        <v>15</v>
      </c>
      <c r="K38" s="52"/>
      <c r="L38" s="37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</row>
    <row r="39" spans="2:68" s="17" customFormat="1" ht="19.5" customHeight="1" x14ac:dyDescent="0.3">
      <c r="B39" s="46" t="s">
        <v>40</v>
      </c>
      <c r="C39" s="56" t="s">
        <v>44</v>
      </c>
      <c r="D39" s="56">
        <v>45</v>
      </c>
      <c r="E39" s="56"/>
      <c r="F39" s="57"/>
      <c r="G39" s="136">
        <v>0.13700000000000001</v>
      </c>
      <c r="H39" s="28" t="s">
        <v>14</v>
      </c>
      <c r="I39" s="58">
        <v>870000</v>
      </c>
      <c r="J39" s="46" t="s">
        <v>15</v>
      </c>
      <c r="K39" s="52"/>
      <c r="L39" s="37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</row>
    <row r="40" spans="2:68" s="17" customFormat="1" ht="19.5" customHeight="1" x14ac:dyDescent="0.3">
      <c r="B40" s="46" t="s">
        <v>40</v>
      </c>
      <c r="C40" s="56" t="s">
        <v>44</v>
      </c>
      <c r="D40" s="56">
        <v>56</v>
      </c>
      <c r="E40" s="56"/>
      <c r="F40" s="57"/>
      <c r="G40" s="136">
        <v>0.104</v>
      </c>
      <c r="H40" s="28" t="s">
        <v>14</v>
      </c>
      <c r="I40" s="58">
        <v>870000</v>
      </c>
      <c r="J40" s="46" t="s">
        <v>15</v>
      </c>
      <c r="K40" s="52"/>
      <c r="L40" s="37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</row>
    <row r="41" spans="2:68" s="17" customFormat="1" ht="19.5" customHeight="1" x14ac:dyDescent="0.3">
      <c r="B41" s="46" t="s">
        <v>40</v>
      </c>
      <c r="C41" s="56" t="s">
        <v>44</v>
      </c>
      <c r="D41" s="56">
        <v>60</v>
      </c>
      <c r="E41" s="56"/>
      <c r="F41" s="57"/>
      <c r="G41" s="136">
        <v>9.9000000000000005E-2</v>
      </c>
      <c r="H41" s="28" t="s">
        <v>14</v>
      </c>
      <c r="I41" s="58">
        <v>860000</v>
      </c>
      <c r="J41" s="46" t="s">
        <v>15</v>
      </c>
      <c r="K41" s="52"/>
      <c r="L41" s="37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</row>
    <row r="42" spans="2:68" s="17" customFormat="1" ht="19.5" customHeight="1" x14ac:dyDescent="0.3">
      <c r="B42" s="46" t="s">
        <v>40</v>
      </c>
      <c r="C42" s="56" t="s">
        <v>44</v>
      </c>
      <c r="D42" s="56">
        <v>65</v>
      </c>
      <c r="E42" s="56"/>
      <c r="F42" s="57"/>
      <c r="G42" s="136">
        <v>0.115</v>
      </c>
      <c r="H42" s="28" t="s">
        <v>14</v>
      </c>
      <c r="I42" s="58">
        <v>860000</v>
      </c>
      <c r="J42" s="46" t="s">
        <v>15</v>
      </c>
      <c r="K42" s="52"/>
      <c r="L42" s="37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</row>
    <row r="43" spans="2:68" s="17" customFormat="1" ht="19.5" customHeight="1" x14ac:dyDescent="0.3">
      <c r="B43" s="46" t="s">
        <v>40</v>
      </c>
      <c r="C43" s="56" t="s">
        <v>44</v>
      </c>
      <c r="D43" s="56">
        <v>70</v>
      </c>
      <c r="E43" s="56"/>
      <c r="F43" s="57"/>
      <c r="G43" s="136">
        <v>0.13700000000000001</v>
      </c>
      <c r="H43" s="28" t="s">
        <v>14</v>
      </c>
      <c r="I43" s="58">
        <v>840000</v>
      </c>
      <c r="J43" s="46" t="s">
        <v>15</v>
      </c>
      <c r="K43" s="52"/>
      <c r="L43" s="37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</row>
    <row r="44" spans="2:68" s="17" customFormat="1" ht="19.5" customHeight="1" x14ac:dyDescent="0.3">
      <c r="B44" s="46" t="s">
        <v>40</v>
      </c>
      <c r="C44" s="56" t="s">
        <v>44</v>
      </c>
      <c r="D44" s="56">
        <v>75</v>
      </c>
      <c r="E44" s="56"/>
      <c r="F44" s="57"/>
      <c r="G44" s="136">
        <v>0.123</v>
      </c>
      <c r="H44" s="28" t="s">
        <v>14</v>
      </c>
      <c r="I44" s="58">
        <v>870000</v>
      </c>
      <c r="J44" s="46" t="s">
        <v>15</v>
      </c>
      <c r="K44" s="52"/>
      <c r="L44" s="37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</row>
    <row r="45" spans="2:68" s="17" customFormat="1" ht="19.5" customHeight="1" x14ac:dyDescent="0.3">
      <c r="B45" s="46" t="s">
        <v>40</v>
      </c>
      <c r="C45" s="56" t="s">
        <v>44</v>
      </c>
      <c r="D45" s="56">
        <v>85</v>
      </c>
      <c r="E45" s="56"/>
      <c r="F45" s="57"/>
      <c r="G45" s="136">
        <v>0.20599999999999999</v>
      </c>
      <c r="H45" s="28" t="s">
        <v>14</v>
      </c>
      <c r="I45" s="58">
        <v>850000</v>
      </c>
      <c r="J45" s="46" t="s">
        <v>15</v>
      </c>
      <c r="K45" s="52"/>
      <c r="L45" s="37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</row>
    <row r="46" spans="2:68" s="17" customFormat="1" ht="19.5" customHeight="1" x14ac:dyDescent="0.3">
      <c r="B46" s="46" t="s">
        <v>40</v>
      </c>
      <c r="C46" s="56" t="s">
        <v>44</v>
      </c>
      <c r="D46" s="56">
        <v>90</v>
      </c>
      <c r="E46" s="56"/>
      <c r="F46" s="57"/>
      <c r="G46" s="136">
        <v>0.21199999999999999</v>
      </c>
      <c r="H46" s="28" t="s">
        <v>14</v>
      </c>
      <c r="I46" s="58">
        <v>850000</v>
      </c>
      <c r="J46" s="46" t="s">
        <v>15</v>
      </c>
      <c r="K46" s="52"/>
      <c r="L46" s="37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</row>
    <row r="47" spans="2:68" s="17" customFormat="1" ht="19.5" customHeight="1" x14ac:dyDescent="0.3">
      <c r="B47" s="46" t="s">
        <v>40</v>
      </c>
      <c r="C47" s="56" t="s">
        <v>44</v>
      </c>
      <c r="D47" s="56">
        <v>100</v>
      </c>
      <c r="E47" s="56"/>
      <c r="F47" s="57"/>
      <c r="G47" s="136" t="s">
        <v>45</v>
      </c>
      <c r="H47" s="28" t="s">
        <v>14</v>
      </c>
      <c r="I47" s="58">
        <v>840000</v>
      </c>
      <c r="J47" s="46" t="s">
        <v>15</v>
      </c>
      <c r="K47" s="52"/>
      <c r="L47" s="37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</row>
    <row r="48" spans="2:68" s="17" customFormat="1" ht="19.5" customHeight="1" x14ac:dyDescent="0.3">
      <c r="B48" s="46" t="s">
        <v>40</v>
      </c>
      <c r="C48" s="53" t="s">
        <v>46</v>
      </c>
      <c r="D48" s="56">
        <v>25</v>
      </c>
      <c r="E48" s="56"/>
      <c r="F48" s="47" t="s">
        <v>47</v>
      </c>
      <c r="G48" s="136">
        <v>1.2999999999999999E-2</v>
      </c>
      <c r="H48" s="28" t="s">
        <v>14</v>
      </c>
      <c r="I48" s="58">
        <v>1250000</v>
      </c>
      <c r="J48" s="46" t="s">
        <v>15</v>
      </c>
      <c r="K48" s="52"/>
      <c r="L48" s="37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</row>
    <row r="49" spans="2:68" s="17" customFormat="1" ht="19.5" customHeight="1" x14ac:dyDescent="0.3">
      <c r="B49" s="46" t="s">
        <v>40</v>
      </c>
      <c r="C49" s="53" t="s">
        <v>46</v>
      </c>
      <c r="D49" s="56">
        <v>30</v>
      </c>
      <c r="E49" s="56"/>
      <c r="F49" s="47" t="s">
        <v>47</v>
      </c>
      <c r="G49" s="136">
        <v>2.5999999999999999E-2</v>
      </c>
      <c r="H49" s="28" t="s">
        <v>14</v>
      </c>
      <c r="I49" s="50">
        <v>1100000</v>
      </c>
      <c r="J49" s="46" t="s">
        <v>15</v>
      </c>
      <c r="K49" s="52"/>
      <c r="L49" s="37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</row>
    <row r="50" spans="2:68" s="17" customFormat="1" ht="19.5" customHeight="1" x14ac:dyDescent="0.3">
      <c r="B50" s="46" t="s">
        <v>40</v>
      </c>
      <c r="C50" s="53" t="s">
        <v>46</v>
      </c>
      <c r="D50" s="56">
        <v>36</v>
      </c>
      <c r="E50" s="56"/>
      <c r="F50" s="47" t="s">
        <v>47</v>
      </c>
      <c r="G50" s="136">
        <v>6.6000000000000003E-2</v>
      </c>
      <c r="H50" s="28" t="s">
        <v>14</v>
      </c>
      <c r="I50" s="50">
        <v>1100000</v>
      </c>
      <c r="J50" s="46" t="s">
        <v>15</v>
      </c>
      <c r="K50" s="52"/>
      <c r="L50" s="37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</row>
    <row r="51" spans="2:68" s="19" customFormat="1" ht="19.5" customHeight="1" x14ac:dyDescent="0.3">
      <c r="B51" s="46" t="s">
        <v>40</v>
      </c>
      <c r="C51" s="53" t="s">
        <v>46</v>
      </c>
      <c r="D51" s="47">
        <v>38</v>
      </c>
      <c r="E51" s="47"/>
      <c r="F51" s="47" t="s">
        <v>47</v>
      </c>
      <c r="G51" s="136">
        <v>0.42</v>
      </c>
      <c r="H51" s="28" t="s">
        <v>14</v>
      </c>
      <c r="I51" s="50">
        <v>1100000</v>
      </c>
      <c r="J51" s="46" t="s">
        <v>15</v>
      </c>
      <c r="K51" s="59"/>
      <c r="L51" s="60"/>
      <c r="M51" s="17"/>
      <c r="N51" s="17"/>
      <c r="O51" s="17"/>
      <c r="P51" s="17"/>
      <c r="Q51" s="17"/>
      <c r="R51" s="17"/>
      <c r="S51" s="18"/>
      <c r="T51" s="18"/>
      <c r="U51" s="18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</row>
    <row r="52" spans="2:68" s="19" customFormat="1" ht="19.5" customHeight="1" x14ac:dyDescent="0.3">
      <c r="B52" s="46" t="s">
        <v>40</v>
      </c>
      <c r="C52" s="53" t="s">
        <v>46</v>
      </c>
      <c r="D52" s="47">
        <v>40</v>
      </c>
      <c r="E52" s="47"/>
      <c r="F52" s="47" t="s">
        <v>47</v>
      </c>
      <c r="G52" s="136">
        <v>8.3000000000000004E-2</v>
      </c>
      <c r="H52" s="28" t="s">
        <v>14</v>
      </c>
      <c r="I52" s="50">
        <v>1100000</v>
      </c>
      <c r="J52" s="46" t="s">
        <v>15</v>
      </c>
      <c r="K52" s="59"/>
      <c r="L52" s="60"/>
      <c r="M52" s="17"/>
      <c r="N52" s="17"/>
      <c r="O52" s="17"/>
      <c r="P52" s="17"/>
      <c r="Q52" s="17"/>
      <c r="R52" s="17"/>
      <c r="S52" s="18"/>
      <c r="T52" s="18"/>
      <c r="U52" s="18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</row>
    <row r="53" spans="2:68" s="19" customFormat="1" ht="19.5" customHeight="1" x14ac:dyDescent="0.3">
      <c r="B53" s="46" t="s">
        <v>40</v>
      </c>
      <c r="C53" s="53" t="s">
        <v>46</v>
      </c>
      <c r="D53" s="47">
        <v>50</v>
      </c>
      <c r="E53" s="47"/>
      <c r="F53" s="47" t="s">
        <v>47</v>
      </c>
      <c r="G53" s="136">
        <v>0.06</v>
      </c>
      <c r="H53" s="28" t="s">
        <v>14</v>
      </c>
      <c r="I53" s="50">
        <v>1100000</v>
      </c>
      <c r="J53" s="46" t="s">
        <v>15</v>
      </c>
      <c r="K53" s="59"/>
      <c r="L53" s="60"/>
      <c r="M53" s="17"/>
      <c r="N53" s="17"/>
      <c r="O53" s="17"/>
      <c r="P53" s="17"/>
      <c r="Q53" s="17"/>
      <c r="R53" s="17"/>
      <c r="S53" s="18"/>
      <c r="T53" s="18"/>
      <c r="U53" s="18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</row>
    <row r="54" spans="2:68" s="19" customFormat="1" ht="19.5" customHeight="1" x14ac:dyDescent="0.3">
      <c r="B54" s="46" t="s">
        <v>40</v>
      </c>
      <c r="C54" s="53" t="s">
        <v>46</v>
      </c>
      <c r="D54" s="47">
        <v>56</v>
      </c>
      <c r="E54" s="47"/>
      <c r="F54" s="47" t="s">
        <v>47</v>
      </c>
      <c r="G54" s="136">
        <v>8.3000000000000004E-2</v>
      </c>
      <c r="H54" s="28" t="s">
        <v>14</v>
      </c>
      <c r="I54" s="50">
        <v>1100000</v>
      </c>
      <c r="J54" s="46" t="s">
        <v>15</v>
      </c>
      <c r="K54" s="59"/>
      <c r="L54" s="60"/>
      <c r="M54" s="17"/>
      <c r="N54" s="17"/>
      <c r="O54" s="17"/>
      <c r="P54" s="17"/>
      <c r="Q54" s="17"/>
      <c r="R54" s="17"/>
      <c r="S54" s="18"/>
      <c r="T54" s="18"/>
      <c r="U54" s="18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</row>
    <row r="55" spans="2:68" s="19" customFormat="1" ht="19.5" customHeight="1" x14ac:dyDescent="0.3">
      <c r="B55" s="46" t="s">
        <v>40</v>
      </c>
      <c r="C55" s="53" t="s">
        <v>46</v>
      </c>
      <c r="D55" s="47">
        <v>60</v>
      </c>
      <c r="E55" s="47"/>
      <c r="F55" s="47" t="s">
        <v>48</v>
      </c>
      <c r="G55" s="136">
        <v>7.88</v>
      </c>
      <c r="H55" s="28" t="s">
        <v>14</v>
      </c>
      <c r="I55" s="50">
        <v>1100000</v>
      </c>
      <c r="J55" s="46" t="s">
        <v>15</v>
      </c>
      <c r="K55" s="59"/>
      <c r="L55" s="60"/>
      <c r="M55" s="17"/>
      <c r="N55" s="17"/>
      <c r="O55" s="17"/>
      <c r="P55" s="17"/>
      <c r="Q55" s="17"/>
      <c r="R55" s="17"/>
      <c r="S55" s="18"/>
      <c r="T55" s="18"/>
      <c r="U55" s="18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</row>
    <row r="56" spans="2:68" s="19" customFormat="1" ht="19.5" customHeight="1" x14ac:dyDescent="0.3">
      <c r="B56" s="46" t="s">
        <v>40</v>
      </c>
      <c r="C56" s="53" t="s">
        <v>46</v>
      </c>
      <c r="D56" s="47">
        <v>70</v>
      </c>
      <c r="E56" s="47"/>
      <c r="F56" s="47" t="s">
        <v>48</v>
      </c>
      <c r="G56" s="136">
        <v>7.3</v>
      </c>
      <c r="H56" s="28" t="s">
        <v>14</v>
      </c>
      <c r="I56" s="50">
        <v>1100000</v>
      </c>
      <c r="J56" s="46" t="s">
        <v>15</v>
      </c>
      <c r="K56" s="59"/>
      <c r="L56" s="60"/>
      <c r="M56" s="17"/>
      <c r="N56" s="17"/>
      <c r="O56" s="17"/>
      <c r="P56" s="17"/>
      <c r="Q56" s="17"/>
      <c r="R56" s="17"/>
      <c r="S56" s="18"/>
      <c r="T56" s="18"/>
      <c r="U56" s="18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</row>
    <row r="57" spans="2:68" s="19" customFormat="1" ht="19.5" customHeight="1" x14ac:dyDescent="0.3">
      <c r="B57" s="46" t="s">
        <v>40</v>
      </c>
      <c r="C57" s="53" t="s">
        <v>46</v>
      </c>
      <c r="D57" s="47">
        <v>80</v>
      </c>
      <c r="E57" s="47"/>
      <c r="F57" s="47" t="s">
        <v>48</v>
      </c>
      <c r="G57" s="136">
        <v>7.9569999999999999</v>
      </c>
      <c r="H57" s="28" t="s">
        <v>14</v>
      </c>
      <c r="I57" s="50">
        <v>1100000</v>
      </c>
      <c r="J57" s="46" t="s">
        <v>15</v>
      </c>
      <c r="K57" s="59"/>
      <c r="L57" s="60"/>
      <c r="M57" s="17"/>
      <c r="N57" s="17"/>
      <c r="O57" s="17"/>
      <c r="P57" s="17"/>
      <c r="Q57" s="17"/>
      <c r="R57" s="17"/>
      <c r="S57" s="18"/>
      <c r="T57" s="18"/>
      <c r="U57" s="18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</row>
    <row r="58" spans="2:68" s="19" customFormat="1" ht="19.5" customHeight="1" x14ac:dyDescent="0.3">
      <c r="B58" s="46" t="s">
        <v>40</v>
      </c>
      <c r="C58" s="53" t="s">
        <v>46</v>
      </c>
      <c r="D58" s="47">
        <v>100</v>
      </c>
      <c r="E58" s="47"/>
      <c r="F58" s="47" t="s">
        <v>48</v>
      </c>
      <c r="G58" s="136">
        <v>4.1890000000000001</v>
      </c>
      <c r="H58" s="28" t="s">
        <v>14</v>
      </c>
      <c r="I58" s="50">
        <v>1100000</v>
      </c>
      <c r="J58" s="46" t="s">
        <v>15</v>
      </c>
      <c r="K58" s="59"/>
      <c r="L58" s="60"/>
      <c r="M58" s="17"/>
      <c r="N58" s="17"/>
      <c r="O58" s="17"/>
      <c r="P58" s="17"/>
      <c r="Q58" s="17"/>
      <c r="R58" s="17"/>
      <c r="S58" s="18"/>
      <c r="T58" s="18"/>
      <c r="U58" s="18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</row>
    <row r="59" spans="2:68" s="19" customFormat="1" ht="19.5" customHeight="1" x14ac:dyDescent="0.3">
      <c r="B59" s="46" t="s">
        <v>40</v>
      </c>
      <c r="C59" s="53" t="s">
        <v>46</v>
      </c>
      <c r="D59" s="47">
        <v>110</v>
      </c>
      <c r="E59" s="47"/>
      <c r="F59" s="47" t="s">
        <v>48</v>
      </c>
      <c r="G59" s="136">
        <v>8.0709999999999997</v>
      </c>
      <c r="H59" s="28" t="s">
        <v>14</v>
      </c>
      <c r="I59" s="50">
        <v>1100000</v>
      </c>
      <c r="J59" s="46" t="s">
        <v>15</v>
      </c>
      <c r="K59" s="59"/>
      <c r="L59" s="60"/>
      <c r="M59" s="17"/>
      <c r="N59" s="17"/>
      <c r="O59" s="17"/>
      <c r="P59" s="17"/>
      <c r="Q59" s="17"/>
      <c r="R59" s="17"/>
      <c r="S59" s="18"/>
      <c r="T59" s="18"/>
      <c r="U59" s="18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</row>
    <row r="60" spans="2:68" s="19" customFormat="1" ht="19.5" customHeight="1" x14ac:dyDescent="0.3">
      <c r="B60" s="46" t="s">
        <v>40</v>
      </c>
      <c r="C60" s="53" t="s">
        <v>46</v>
      </c>
      <c r="D60" s="47">
        <v>120</v>
      </c>
      <c r="E60" s="47"/>
      <c r="F60" s="47" t="s">
        <v>48</v>
      </c>
      <c r="G60" s="136">
        <v>4.0110000000000001</v>
      </c>
      <c r="H60" s="28" t="s">
        <v>14</v>
      </c>
      <c r="I60" s="50">
        <v>1100000</v>
      </c>
      <c r="J60" s="46" t="s">
        <v>15</v>
      </c>
      <c r="K60" s="59"/>
      <c r="L60" s="60"/>
      <c r="M60" s="17"/>
      <c r="N60" s="17"/>
      <c r="O60" s="17"/>
      <c r="P60" s="17"/>
      <c r="Q60" s="17"/>
      <c r="R60" s="17"/>
      <c r="S60" s="18"/>
      <c r="T60" s="18"/>
      <c r="U60" s="18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</row>
    <row r="61" spans="2:68" s="19" customFormat="1" ht="19.5" customHeight="1" x14ac:dyDescent="0.3">
      <c r="B61" s="46" t="s">
        <v>40</v>
      </c>
      <c r="C61" s="53" t="s">
        <v>46</v>
      </c>
      <c r="D61" s="47">
        <v>130</v>
      </c>
      <c r="E61" s="47"/>
      <c r="F61" s="47" t="s">
        <v>48</v>
      </c>
      <c r="G61" s="136">
        <v>3.8050000000000002</v>
      </c>
      <c r="H61" s="28" t="s">
        <v>14</v>
      </c>
      <c r="I61" s="50">
        <v>1100000</v>
      </c>
      <c r="J61" s="46" t="s">
        <v>15</v>
      </c>
      <c r="K61" s="59"/>
      <c r="L61" s="60"/>
      <c r="M61" s="17"/>
      <c r="N61" s="17"/>
      <c r="O61" s="17"/>
      <c r="P61" s="17"/>
      <c r="Q61" s="17"/>
      <c r="R61" s="17"/>
      <c r="S61" s="18"/>
      <c r="T61" s="18"/>
      <c r="U61" s="18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</row>
    <row r="62" spans="2:68" s="19" customFormat="1" ht="19.5" customHeight="1" x14ac:dyDescent="0.3">
      <c r="B62" s="46" t="s">
        <v>40</v>
      </c>
      <c r="C62" s="53" t="s">
        <v>46</v>
      </c>
      <c r="D62" s="47">
        <v>140</v>
      </c>
      <c r="E62" s="47"/>
      <c r="F62" s="47" t="s">
        <v>48</v>
      </c>
      <c r="G62" s="136">
        <v>3.6930000000000001</v>
      </c>
      <c r="H62" s="28" t="s">
        <v>14</v>
      </c>
      <c r="I62" s="50">
        <v>1100000</v>
      </c>
      <c r="J62" s="46" t="s">
        <v>15</v>
      </c>
      <c r="K62" s="59"/>
      <c r="L62" s="60"/>
      <c r="M62" s="17"/>
      <c r="N62" s="17"/>
      <c r="O62" s="17"/>
      <c r="P62" s="17"/>
      <c r="Q62" s="17"/>
      <c r="R62" s="17"/>
      <c r="S62" s="18"/>
      <c r="T62" s="18"/>
      <c r="U62" s="18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</row>
    <row r="63" spans="2:68" s="19" customFormat="1" ht="19.5" customHeight="1" x14ac:dyDescent="0.3">
      <c r="B63" s="46" t="s">
        <v>40</v>
      </c>
      <c r="C63" s="53" t="s">
        <v>46</v>
      </c>
      <c r="D63" s="47">
        <v>150</v>
      </c>
      <c r="E63" s="47"/>
      <c r="F63" s="47" t="s">
        <v>48</v>
      </c>
      <c r="G63" s="136">
        <v>3.9</v>
      </c>
      <c r="H63" s="28" t="s">
        <v>14</v>
      </c>
      <c r="I63" s="50">
        <v>1100000</v>
      </c>
      <c r="J63" s="46" t="s">
        <v>15</v>
      </c>
      <c r="K63" s="59"/>
      <c r="L63" s="60"/>
      <c r="M63" s="17"/>
      <c r="N63" s="17"/>
      <c r="O63" s="17"/>
      <c r="P63" s="17"/>
      <c r="Q63" s="17"/>
      <c r="R63" s="17"/>
      <c r="S63" s="18"/>
      <c r="T63" s="18"/>
      <c r="U63" s="18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</row>
    <row r="64" spans="2:68" s="19" customFormat="1" ht="19.5" customHeight="1" x14ac:dyDescent="0.3">
      <c r="B64" s="46" t="s">
        <v>40</v>
      </c>
      <c r="C64" s="53" t="s">
        <v>46</v>
      </c>
      <c r="D64" s="47">
        <v>160</v>
      </c>
      <c r="E64" s="47"/>
      <c r="F64" s="47" t="s">
        <v>48</v>
      </c>
      <c r="G64" s="136">
        <v>3.9470000000000001</v>
      </c>
      <c r="H64" s="28" t="s">
        <v>14</v>
      </c>
      <c r="I64" s="50">
        <v>1100000</v>
      </c>
      <c r="J64" s="46" t="s">
        <v>15</v>
      </c>
      <c r="K64" s="59"/>
      <c r="L64" s="60"/>
      <c r="M64" s="17"/>
      <c r="N64" s="17"/>
      <c r="O64" s="17"/>
      <c r="P64" s="17"/>
      <c r="Q64" s="17"/>
      <c r="R64" s="17"/>
      <c r="S64" s="18"/>
      <c r="T64" s="18"/>
      <c r="U64" s="18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</row>
    <row r="65" spans="2:68" s="19" customFormat="1" ht="19.5" customHeight="1" x14ac:dyDescent="0.3">
      <c r="B65" s="46" t="s">
        <v>40</v>
      </c>
      <c r="C65" s="53" t="s">
        <v>46</v>
      </c>
      <c r="D65" s="47">
        <v>170</v>
      </c>
      <c r="E65" s="47"/>
      <c r="F65" s="47" t="s">
        <v>48</v>
      </c>
      <c r="G65" s="136">
        <v>3.673</v>
      </c>
      <c r="H65" s="28" t="s">
        <v>14</v>
      </c>
      <c r="I65" s="50">
        <v>1100000</v>
      </c>
      <c r="J65" s="46" t="s">
        <v>15</v>
      </c>
      <c r="K65" s="59"/>
      <c r="L65" s="60"/>
      <c r="M65" s="17"/>
      <c r="N65" s="17"/>
      <c r="O65" s="17"/>
      <c r="P65" s="17"/>
      <c r="Q65" s="17"/>
      <c r="R65" s="17"/>
      <c r="S65" s="18"/>
      <c r="T65" s="18"/>
      <c r="U65" s="18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</row>
    <row r="66" spans="2:68" s="19" customFormat="1" ht="19.5" customHeight="1" x14ac:dyDescent="0.3">
      <c r="B66" s="46" t="s">
        <v>40</v>
      </c>
      <c r="C66" s="53" t="s">
        <v>46</v>
      </c>
      <c r="D66" s="47">
        <v>180</v>
      </c>
      <c r="E66" s="47"/>
      <c r="F66" s="47" t="s">
        <v>48</v>
      </c>
      <c r="G66" s="136">
        <v>3.9969999999999999</v>
      </c>
      <c r="H66" s="28" t="s">
        <v>14</v>
      </c>
      <c r="I66" s="50">
        <v>1100000</v>
      </c>
      <c r="J66" s="46" t="s">
        <v>15</v>
      </c>
      <c r="K66" s="59"/>
      <c r="L66" s="60"/>
      <c r="M66" s="17"/>
      <c r="N66" s="17"/>
      <c r="O66" s="17"/>
      <c r="P66" s="17"/>
      <c r="Q66" s="17"/>
      <c r="R66" s="17"/>
      <c r="S66" s="18"/>
      <c r="T66" s="18"/>
      <c r="U66" s="18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</row>
    <row r="67" spans="2:68" s="19" customFormat="1" ht="19.5" customHeight="1" x14ac:dyDescent="0.3">
      <c r="B67" s="46" t="s">
        <v>40</v>
      </c>
      <c r="C67" s="53" t="s">
        <v>46</v>
      </c>
      <c r="D67" s="47">
        <v>200</v>
      </c>
      <c r="E67" s="47"/>
      <c r="F67" s="47" t="s">
        <v>48</v>
      </c>
      <c r="G67" s="136">
        <v>3.919</v>
      </c>
      <c r="H67" s="28" t="s">
        <v>14</v>
      </c>
      <c r="I67" s="50">
        <v>1100000</v>
      </c>
      <c r="J67" s="46" t="s">
        <v>15</v>
      </c>
      <c r="K67" s="59"/>
      <c r="L67" s="60"/>
      <c r="M67" s="17"/>
      <c r="N67" s="17"/>
      <c r="O67" s="17"/>
      <c r="P67" s="17"/>
      <c r="Q67" s="17"/>
      <c r="R67" s="17"/>
      <c r="S67" s="18"/>
      <c r="T67" s="18"/>
      <c r="U67" s="18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</row>
    <row r="68" spans="2:68" s="19" customFormat="1" ht="19.5" customHeight="1" x14ac:dyDescent="0.3">
      <c r="B68" s="46" t="s">
        <v>40</v>
      </c>
      <c r="C68" s="53" t="s">
        <v>46</v>
      </c>
      <c r="D68" s="47">
        <v>220</v>
      </c>
      <c r="E68" s="47"/>
      <c r="F68" s="47" t="s">
        <v>48</v>
      </c>
      <c r="G68" s="136">
        <v>0</v>
      </c>
      <c r="H68" s="28" t="s">
        <v>14</v>
      </c>
      <c r="I68" s="50">
        <v>1100000</v>
      </c>
      <c r="J68" s="46" t="s">
        <v>15</v>
      </c>
      <c r="K68" s="59"/>
      <c r="L68" s="60"/>
      <c r="M68" s="17"/>
      <c r="N68" s="17"/>
      <c r="O68" s="17"/>
      <c r="P68" s="17"/>
      <c r="Q68" s="17"/>
      <c r="R68" s="17"/>
      <c r="S68" s="18"/>
      <c r="T68" s="18"/>
      <c r="U68" s="18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</row>
    <row r="69" spans="2:68" s="19" customFormat="1" ht="19.5" customHeight="1" x14ac:dyDescent="0.3">
      <c r="B69" s="46" t="s">
        <v>40</v>
      </c>
      <c r="C69" s="53" t="s">
        <v>49</v>
      </c>
      <c r="D69" s="47">
        <v>45</v>
      </c>
      <c r="E69" s="47"/>
      <c r="F69" s="47" t="s">
        <v>48</v>
      </c>
      <c r="G69" s="136">
        <v>0.39200000000000002</v>
      </c>
      <c r="H69" s="28" t="s">
        <v>14</v>
      </c>
      <c r="I69" s="50">
        <v>1100000</v>
      </c>
      <c r="J69" s="46" t="s">
        <v>15</v>
      </c>
      <c r="K69" s="59"/>
      <c r="L69" s="37"/>
      <c r="M69" s="17"/>
      <c r="N69" s="17"/>
      <c r="O69" s="17"/>
      <c r="P69" s="17"/>
      <c r="Q69" s="17"/>
      <c r="R69" s="17"/>
      <c r="S69" s="18"/>
      <c r="T69" s="18"/>
      <c r="U69" s="18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</row>
    <row r="70" spans="2:68" s="19" customFormat="1" ht="20.25" customHeight="1" x14ac:dyDescent="0.3">
      <c r="B70" s="46" t="s">
        <v>40</v>
      </c>
      <c r="C70" s="53" t="s">
        <v>49</v>
      </c>
      <c r="D70" s="47">
        <v>50</v>
      </c>
      <c r="E70" s="47"/>
      <c r="F70" s="47" t="s">
        <v>48</v>
      </c>
      <c r="G70" s="136">
        <v>0.33600000000000002</v>
      </c>
      <c r="H70" s="28" t="s">
        <v>14</v>
      </c>
      <c r="I70" s="50">
        <v>1100000</v>
      </c>
      <c r="J70" s="46" t="s">
        <v>15</v>
      </c>
      <c r="K70" s="59"/>
      <c r="L70" s="37"/>
      <c r="M70" s="17"/>
      <c r="N70" s="17"/>
      <c r="O70" s="17"/>
      <c r="P70" s="17"/>
      <c r="Q70" s="17"/>
      <c r="R70" s="17"/>
      <c r="S70" s="18"/>
      <c r="T70" s="18"/>
      <c r="U70" s="18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</row>
    <row r="71" spans="2:68" s="19" customFormat="1" ht="21.75" customHeight="1" x14ac:dyDescent="0.3">
      <c r="B71" s="46" t="s">
        <v>40</v>
      </c>
      <c r="C71" s="53" t="s">
        <v>50</v>
      </c>
      <c r="D71" s="47">
        <v>12</v>
      </c>
      <c r="E71" s="46" t="s">
        <v>51</v>
      </c>
      <c r="F71" s="47"/>
      <c r="G71" s="136">
        <v>3.3000000000000002E-2</v>
      </c>
      <c r="H71" s="28" t="s">
        <v>14</v>
      </c>
      <c r="I71" s="50">
        <v>1100000</v>
      </c>
      <c r="J71" s="46" t="s">
        <v>15</v>
      </c>
      <c r="K71" s="59"/>
      <c r="L71" s="37"/>
      <c r="M71" s="17"/>
      <c r="N71" s="17"/>
      <c r="O71" s="17"/>
      <c r="P71" s="17"/>
      <c r="Q71" s="17"/>
      <c r="R71" s="17"/>
      <c r="S71" s="18"/>
      <c r="T71" s="18"/>
      <c r="U71" s="18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</row>
    <row r="72" spans="2:68" s="19" customFormat="1" ht="20.25" customHeight="1" x14ac:dyDescent="0.3">
      <c r="B72" s="46" t="s">
        <v>40</v>
      </c>
      <c r="C72" s="53" t="s">
        <v>50</v>
      </c>
      <c r="D72" s="47">
        <v>14</v>
      </c>
      <c r="E72" s="46" t="s">
        <v>51</v>
      </c>
      <c r="F72" s="47"/>
      <c r="G72" s="136">
        <v>2.5000000000000001E-2</v>
      </c>
      <c r="H72" s="28" t="s">
        <v>14</v>
      </c>
      <c r="I72" s="50">
        <v>1100000</v>
      </c>
      <c r="J72" s="46" t="s">
        <v>15</v>
      </c>
      <c r="K72" s="59"/>
      <c r="L72" s="37"/>
      <c r="M72" s="17"/>
      <c r="N72" s="17"/>
      <c r="O72" s="17"/>
      <c r="P72" s="17"/>
      <c r="Q72" s="17"/>
      <c r="R72" s="17"/>
      <c r="S72" s="18"/>
      <c r="T72" s="18"/>
      <c r="U72" s="18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</row>
    <row r="73" spans="2:68" s="19" customFormat="1" ht="22.5" customHeight="1" x14ac:dyDescent="0.3">
      <c r="B73" s="46" t="s">
        <v>40</v>
      </c>
      <c r="C73" s="53" t="s">
        <v>50</v>
      </c>
      <c r="D73" s="47">
        <v>15</v>
      </c>
      <c r="E73" s="46" t="s">
        <v>51</v>
      </c>
      <c r="F73" s="47"/>
      <c r="G73" s="136">
        <v>1.4E-2</v>
      </c>
      <c r="H73" s="28" t="s">
        <v>14</v>
      </c>
      <c r="I73" s="50">
        <v>1100000</v>
      </c>
      <c r="J73" s="46" t="s">
        <v>15</v>
      </c>
      <c r="K73" s="59"/>
      <c r="L73" s="37"/>
      <c r="M73" s="17"/>
      <c r="N73" s="17"/>
      <c r="O73" s="17"/>
      <c r="P73" s="17"/>
      <c r="Q73" s="17"/>
      <c r="R73" s="17"/>
      <c r="S73" s="18"/>
      <c r="T73" s="18"/>
      <c r="U73" s="18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</row>
    <row r="74" spans="2:68" s="19" customFormat="1" ht="24.75" customHeight="1" x14ac:dyDescent="0.3">
      <c r="B74" s="46" t="s">
        <v>40</v>
      </c>
      <c r="C74" s="53" t="s">
        <v>50</v>
      </c>
      <c r="D74" s="47">
        <v>18</v>
      </c>
      <c r="E74" s="46" t="s">
        <v>51</v>
      </c>
      <c r="F74" s="47"/>
      <c r="G74" s="136">
        <v>0.05</v>
      </c>
      <c r="H74" s="28" t="s">
        <v>14</v>
      </c>
      <c r="I74" s="50">
        <v>1100000</v>
      </c>
      <c r="J74" s="46" t="s">
        <v>15</v>
      </c>
      <c r="K74" s="59"/>
      <c r="L74" s="37"/>
      <c r="M74" s="17"/>
      <c r="N74" s="17"/>
      <c r="O74" s="17"/>
      <c r="P74" s="17"/>
      <c r="Q74" s="17"/>
      <c r="R74" s="17"/>
      <c r="S74" s="18"/>
      <c r="T74" s="18"/>
      <c r="U74" s="18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</row>
    <row r="75" spans="2:68" s="19" customFormat="1" ht="24.75" customHeight="1" x14ac:dyDescent="0.3">
      <c r="B75" s="46" t="s">
        <v>40</v>
      </c>
      <c r="C75" s="53" t="s">
        <v>50</v>
      </c>
      <c r="D75" s="47">
        <v>19</v>
      </c>
      <c r="E75" s="46" t="s">
        <v>51</v>
      </c>
      <c r="F75" s="47"/>
      <c r="G75" s="136">
        <v>0.06</v>
      </c>
      <c r="H75" s="28" t="s">
        <v>14</v>
      </c>
      <c r="I75" s="50">
        <v>1100000</v>
      </c>
      <c r="J75" s="46" t="s">
        <v>15</v>
      </c>
      <c r="K75" s="59"/>
      <c r="L75" s="37"/>
      <c r="M75" s="17"/>
      <c r="N75" s="17"/>
      <c r="O75" s="17"/>
      <c r="P75" s="17"/>
      <c r="Q75" s="17"/>
      <c r="R75" s="17"/>
      <c r="S75" s="18"/>
      <c r="T75" s="18"/>
      <c r="U75" s="18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</row>
    <row r="76" spans="2:68" s="19" customFormat="1" ht="24.75" customHeight="1" x14ac:dyDescent="0.3">
      <c r="B76" s="46" t="s">
        <v>40</v>
      </c>
      <c r="C76" s="53" t="s">
        <v>50</v>
      </c>
      <c r="D76" s="47">
        <v>20</v>
      </c>
      <c r="E76" s="46" t="s">
        <v>51</v>
      </c>
      <c r="F76" s="47" t="s">
        <v>52</v>
      </c>
      <c r="G76" s="136">
        <v>8.3000000000000004E-2</v>
      </c>
      <c r="H76" s="28" t="s">
        <v>14</v>
      </c>
      <c r="I76" s="50">
        <v>1100000</v>
      </c>
      <c r="J76" s="46" t="s">
        <v>15</v>
      </c>
      <c r="K76" s="59"/>
      <c r="L76" s="37"/>
      <c r="M76" s="17"/>
      <c r="N76" s="17"/>
      <c r="O76" s="17"/>
      <c r="P76" s="17"/>
      <c r="Q76" s="17"/>
      <c r="R76" s="17"/>
      <c r="S76" s="18"/>
      <c r="T76" s="18"/>
      <c r="U76" s="18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</row>
    <row r="77" spans="2:68" s="19" customFormat="1" ht="24.75" customHeight="1" x14ac:dyDescent="0.3">
      <c r="B77" s="46" t="s">
        <v>40</v>
      </c>
      <c r="C77" s="53" t="s">
        <v>50</v>
      </c>
      <c r="D77" s="47">
        <v>22</v>
      </c>
      <c r="E77" s="46" t="s">
        <v>51</v>
      </c>
      <c r="F77" s="47"/>
      <c r="G77" s="136">
        <v>0.14099999999999999</v>
      </c>
      <c r="H77" s="28" t="s">
        <v>14</v>
      </c>
      <c r="I77" s="50">
        <v>1100000</v>
      </c>
      <c r="J77" s="46" t="s">
        <v>15</v>
      </c>
      <c r="K77" s="59"/>
      <c r="L77" s="37"/>
      <c r="M77" s="17"/>
      <c r="N77" s="17"/>
      <c r="O77" s="17"/>
      <c r="P77" s="17"/>
      <c r="Q77" s="17"/>
      <c r="R77" s="17"/>
      <c r="S77" s="18"/>
      <c r="T77" s="18"/>
      <c r="U77" s="18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</row>
    <row r="78" spans="2:68" s="19" customFormat="1" ht="19.5" customHeight="1" x14ac:dyDescent="0.3">
      <c r="B78" s="46" t="s">
        <v>40</v>
      </c>
      <c r="C78" s="53" t="s">
        <v>50</v>
      </c>
      <c r="D78" s="47">
        <v>25</v>
      </c>
      <c r="E78" s="46" t="s">
        <v>51</v>
      </c>
      <c r="F78" s="47" t="s">
        <v>52</v>
      </c>
      <c r="G78" s="136">
        <v>0.161</v>
      </c>
      <c r="H78" s="28" t="s">
        <v>14</v>
      </c>
      <c r="I78" s="50">
        <v>1100000</v>
      </c>
      <c r="J78" s="46" t="s">
        <v>15</v>
      </c>
      <c r="K78" s="59"/>
      <c r="L78" s="37"/>
      <c r="M78" s="17"/>
      <c r="N78" s="17"/>
      <c r="O78" s="17"/>
      <c r="P78" s="17"/>
      <c r="Q78" s="17"/>
      <c r="R78" s="17"/>
      <c r="S78" s="18"/>
      <c r="T78" s="18"/>
      <c r="U78" s="18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</row>
    <row r="79" spans="2:68" s="19" customFormat="1" ht="19.5" customHeight="1" x14ac:dyDescent="0.3">
      <c r="B79" s="46" t="s">
        <v>40</v>
      </c>
      <c r="C79" s="53" t="s">
        <v>50</v>
      </c>
      <c r="D79" s="47">
        <v>28</v>
      </c>
      <c r="E79" s="46" t="s">
        <v>51</v>
      </c>
      <c r="F79" s="47"/>
      <c r="G79" s="136">
        <v>0.16800000000000001</v>
      </c>
      <c r="H79" s="28" t="s">
        <v>14</v>
      </c>
      <c r="I79" s="50">
        <v>1100000</v>
      </c>
      <c r="J79" s="46" t="s">
        <v>15</v>
      </c>
      <c r="K79" s="59"/>
      <c r="L79" s="37"/>
      <c r="M79" s="17"/>
      <c r="N79" s="17"/>
      <c r="O79" s="17"/>
      <c r="P79" s="17"/>
      <c r="Q79" s="17"/>
      <c r="R79" s="17"/>
      <c r="S79" s="18"/>
      <c r="T79" s="18"/>
      <c r="U79" s="18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</row>
    <row r="80" spans="2:68" s="19" customFormat="1" ht="19.5" customHeight="1" x14ac:dyDescent="0.3">
      <c r="B80" s="46" t="s">
        <v>40</v>
      </c>
      <c r="C80" s="53" t="s">
        <v>50</v>
      </c>
      <c r="D80" s="47">
        <v>30</v>
      </c>
      <c r="E80" s="46" t="s">
        <v>51</v>
      </c>
      <c r="F80" s="47" t="s">
        <v>52</v>
      </c>
      <c r="G80" s="136">
        <v>0.59599999999999997</v>
      </c>
      <c r="H80" s="28" t="s">
        <v>14</v>
      </c>
      <c r="I80" s="50">
        <v>1100000</v>
      </c>
      <c r="J80" s="46" t="s">
        <v>15</v>
      </c>
      <c r="K80" s="59"/>
      <c r="L80" s="37"/>
      <c r="M80" s="17"/>
      <c r="N80" s="17"/>
      <c r="O80" s="17"/>
      <c r="P80" s="17"/>
      <c r="Q80" s="17"/>
      <c r="R80" s="17"/>
      <c r="S80" s="18"/>
      <c r="T80" s="18"/>
      <c r="U80" s="18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</row>
    <row r="81" spans="2:68" s="19" customFormat="1" ht="19.5" customHeight="1" x14ac:dyDescent="0.3">
      <c r="B81" s="46" t="s">
        <v>40</v>
      </c>
      <c r="C81" s="53" t="s">
        <v>50</v>
      </c>
      <c r="D81" s="47">
        <v>32</v>
      </c>
      <c r="E81" s="46" t="s">
        <v>51</v>
      </c>
      <c r="F81" s="47"/>
      <c r="G81" s="136">
        <v>6.2E-2</v>
      </c>
      <c r="H81" s="28" t="s">
        <v>14</v>
      </c>
      <c r="I81" s="50">
        <v>1100000</v>
      </c>
      <c r="J81" s="46" t="s">
        <v>15</v>
      </c>
      <c r="K81" s="59"/>
      <c r="L81" s="37"/>
      <c r="M81" s="17"/>
      <c r="N81" s="17"/>
      <c r="O81" s="17"/>
      <c r="P81" s="17"/>
      <c r="Q81" s="17"/>
      <c r="R81" s="17"/>
      <c r="S81" s="18"/>
      <c r="T81" s="18"/>
      <c r="U81" s="18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</row>
    <row r="82" spans="2:68" s="19" customFormat="1" ht="19.5" customHeight="1" x14ac:dyDescent="0.3">
      <c r="B82" s="46" t="s">
        <v>40</v>
      </c>
      <c r="C82" s="53" t="s">
        <v>50</v>
      </c>
      <c r="D82" s="47">
        <v>35</v>
      </c>
      <c r="E82" s="46" t="s">
        <v>51</v>
      </c>
      <c r="F82" s="47" t="s">
        <v>52</v>
      </c>
      <c r="G82" s="136">
        <v>0.57999999999999996</v>
      </c>
      <c r="H82" s="28" t="s">
        <v>14</v>
      </c>
      <c r="I82" s="50">
        <v>1100000</v>
      </c>
      <c r="J82" s="46" t="s">
        <v>15</v>
      </c>
      <c r="K82" s="59"/>
      <c r="L82" s="37"/>
      <c r="M82" s="17"/>
      <c r="N82" s="17"/>
      <c r="O82" s="17"/>
      <c r="P82" s="17"/>
      <c r="Q82" s="17"/>
      <c r="R82" s="17"/>
      <c r="S82" s="18"/>
      <c r="T82" s="18"/>
      <c r="U82" s="18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</row>
    <row r="83" spans="2:68" s="19" customFormat="1" ht="19.5" customHeight="1" x14ac:dyDescent="0.3">
      <c r="B83" s="46" t="s">
        <v>40</v>
      </c>
      <c r="C83" s="53" t="s">
        <v>50</v>
      </c>
      <c r="D83" s="47">
        <v>40</v>
      </c>
      <c r="E83" s="46" t="s">
        <v>51</v>
      </c>
      <c r="F83" s="47" t="s">
        <v>52</v>
      </c>
      <c r="G83" s="136">
        <v>0.44500000000000001</v>
      </c>
      <c r="H83" s="28" t="s">
        <v>14</v>
      </c>
      <c r="I83" s="50">
        <v>1100000</v>
      </c>
      <c r="J83" s="46" t="s">
        <v>15</v>
      </c>
      <c r="K83" s="59"/>
      <c r="L83" s="37"/>
      <c r="M83" s="17"/>
      <c r="N83" s="17"/>
      <c r="O83" s="17"/>
      <c r="P83" s="17"/>
      <c r="Q83" s="17"/>
      <c r="R83" s="17"/>
      <c r="S83" s="18"/>
      <c r="T83" s="18"/>
      <c r="U83" s="18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</row>
    <row r="84" spans="2:68" s="19" customFormat="1" ht="19.5" customHeight="1" x14ac:dyDescent="0.3">
      <c r="B84" s="46" t="s">
        <v>53</v>
      </c>
      <c r="C84" s="53" t="s">
        <v>50</v>
      </c>
      <c r="D84" s="47">
        <v>14</v>
      </c>
      <c r="E84" s="46" t="s">
        <v>51</v>
      </c>
      <c r="F84" s="47"/>
      <c r="G84" s="136">
        <v>1E-3</v>
      </c>
      <c r="H84" s="28" t="s">
        <v>14</v>
      </c>
      <c r="I84" s="50">
        <v>1100000</v>
      </c>
      <c r="J84" s="46" t="s">
        <v>15</v>
      </c>
      <c r="K84" s="59"/>
      <c r="L84" s="37"/>
      <c r="M84" s="17"/>
      <c r="N84" s="17"/>
      <c r="O84" s="17"/>
      <c r="P84" s="17"/>
      <c r="Q84" s="17"/>
      <c r="R84" s="17"/>
      <c r="S84" s="18"/>
      <c r="T84" s="18"/>
      <c r="U84" s="18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</row>
    <row r="85" spans="2:68" s="19" customFormat="1" ht="19.5" customHeight="1" x14ac:dyDescent="0.3">
      <c r="B85" s="46" t="s">
        <v>53</v>
      </c>
      <c r="C85" s="53" t="s">
        <v>50</v>
      </c>
      <c r="D85" s="47">
        <v>22</v>
      </c>
      <c r="E85" s="46" t="s">
        <v>51</v>
      </c>
      <c r="F85" s="47"/>
      <c r="G85" s="136">
        <v>8.9999999999999993E-3</v>
      </c>
      <c r="H85" s="28" t="s">
        <v>14</v>
      </c>
      <c r="I85" s="50">
        <v>1100000</v>
      </c>
      <c r="J85" s="46" t="s">
        <v>15</v>
      </c>
      <c r="K85" s="59"/>
      <c r="L85" s="37"/>
      <c r="M85" s="17"/>
      <c r="N85" s="17"/>
      <c r="O85" s="17"/>
      <c r="P85" s="17"/>
      <c r="Q85" s="17"/>
      <c r="R85" s="17"/>
      <c r="S85" s="18"/>
      <c r="T85" s="18"/>
      <c r="U85" s="18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</row>
    <row r="86" spans="2:68" s="19" customFormat="1" ht="19.5" customHeight="1" x14ac:dyDescent="0.3">
      <c r="B86" s="46" t="s">
        <v>53</v>
      </c>
      <c r="C86" s="53" t="s">
        <v>50</v>
      </c>
      <c r="D86" s="47">
        <v>24</v>
      </c>
      <c r="E86" s="46" t="s">
        <v>51</v>
      </c>
      <c r="F86" s="47" t="s">
        <v>54</v>
      </c>
      <c r="G86" s="136">
        <v>0.55300000000000005</v>
      </c>
      <c r="H86" s="28" t="s">
        <v>14</v>
      </c>
      <c r="I86" s="50">
        <v>1100000</v>
      </c>
      <c r="J86" s="46" t="s">
        <v>15</v>
      </c>
      <c r="K86" s="59"/>
      <c r="L86" s="37"/>
      <c r="M86" s="17"/>
      <c r="N86" s="17"/>
      <c r="O86" s="17"/>
      <c r="P86" s="17"/>
      <c r="Q86" s="17"/>
      <c r="R86" s="17"/>
      <c r="S86" s="18"/>
      <c r="T86" s="18"/>
      <c r="U86" s="18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</row>
    <row r="87" spans="2:68" s="19" customFormat="1" ht="19.5" customHeight="1" x14ac:dyDescent="0.3">
      <c r="B87" s="46" t="s">
        <v>53</v>
      </c>
      <c r="C87" s="53" t="s">
        <v>50</v>
      </c>
      <c r="D87" s="47">
        <v>27</v>
      </c>
      <c r="E87" s="46" t="s">
        <v>51</v>
      </c>
      <c r="F87" s="47" t="s">
        <v>54</v>
      </c>
      <c r="G87" s="136">
        <v>0.58099999999999996</v>
      </c>
      <c r="H87" s="28" t="s">
        <v>14</v>
      </c>
      <c r="I87" s="50">
        <v>1100000</v>
      </c>
      <c r="J87" s="46" t="s">
        <v>15</v>
      </c>
      <c r="K87" s="59"/>
      <c r="L87" s="37"/>
      <c r="M87" s="17"/>
      <c r="N87" s="17"/>
      <c r="O87" s="17"/>
      <c r="P87" s="17"/>
      <c r="Q87" s="17"/>
      <c r="R87" s="17"/>
      <c r="S87" s="18"/>
      <c r="T87" s="18"/>
      <c r="U87" s="18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</row>
    <row r="88" spans="2:68" s="19" customFormat="1" ht="19.5" customHeight="1" x14ac:dyDescent="0.3">
      <c r="B88" s="46" t="s">
        <v>53</v>
      </c>
      <c r="C88" s="53" t="s">
        <v>50</v>
      </c>
      <c r="D88" s="47">
        <v>30</v>
      </c>
      <c r="E88" s="46" t="s">
        <v>51</v>
      </c>
      <c r="F88" s="47" t="s">
        <v>54</v>
      </c>
      <c r="G88" s="136">
        <v>0.16800000000000001</v>
      </c>
      <c r="H88" s="28" t="s">
        <v>14</v>
      </c>
      <c r="I88" s="50">
        <v>1100000</v>
      </c>
      <c r="J88" s="46" t="s">
        <v>15</v>
      </c>
      <c r="K88" s="59"/>
      <c r="L88" s="37"/>
      <c r="M88" s="17"/>
      <c r="N88" s="17"/>
      <c r="O88" s="17"/>
      <c r="P88" s="17"/>
      <c r="Q88" s="17"/>
      <c r="R88" s="17"/>
      <c r="S88" s="18"/>
      <c r="T88" s="18"/>
      <c r="U88" s="18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</row>
    <row r="89" spans="2:68" s="19" customFormat="1" ht="19.5" customHeight="1" x14ac:dyDescent="0.3">
      <c r="B89" s="46" t="s">
        <v>53</v>
      </c>
      <c r="C89" s="53" t="s">
        <v>50</v>
      </c>
      <c r="D89" s="47">
        <v>32</v>
      </c>
      <c r="E89" s="46" t="s">
        <v>51</v>
      </c>
      <c r="F89" s="47" t="s">
        <v>54</v>
      </c>
      <c r="G89" s="136">
        <v>0.02</v>
      </c>
      <c r="H89" s="28" t="s">
        <v>14</v>
      </c>
      <c r="I89" s="50">
        <v>1100000</v>
      </c>
      <c r="J89" s="46" t="s">
        <v>15</v>
      </c>
      <c r="K89" s="59"/>
      <c r="L89" s="37"/>
      <c r="M89" s="17"/>
      <c r="N89" s="17"/>
      <c r="O89" s="17"/>
      <c r="P89" s="17"/>
      <c r="Q89" s="17"/>
      <c r="R89" s="17"/>
      <c r="S89" s="18"/>
      <c r="T89" s="18"/>
      <c r="U89" s="18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</row>
    <row r="90" spans="2:68" s="19" customFormat="1" ht="19.5" customHeight="1" x14ac:dyDescent="0.3">
      <c r="B90" s="46" t="s">
        <v>53</v>
      </c>
      <c r="C90" s="53" t="s">
        <v>50</v>
      </c>
      <c r="D90" s="47">
        <v>36</v>
      </c>
      <c r="E90" s="46" t="s">
        <v>51</v>
      </c>
      <c r="F90" s="47"/>
      <c r="G90" s="136">
        <v>3.5000000000000003E-2</v>
      </c>
      <c r="H90" s="28" t="s">
        <v>14</v>
      </c>
      <c r="I90" s="50">
        <v>1100000</v>
      </c>
      <c r="J90" s="46" t="s">
        <v>15</v>
      </c>
      <c r="K90" s="59"/>
      <c r="L90" s="37"/>
      <c r="M90" s="17"/>
      <c r="N90" s="17"/>
      <c r="O90" s="17"/>
      <c r="P90" s="17"/>
      <c r="Q90" s="17"/>
      <c r="R90" s="17"/>
      <c r="S90" s="18"/>
      <c r="T90" s="18"/>
      <c r="U90" s="18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</row>
    <row r="91" spans="2:68" s="19" customFormat="1" ht="19.5" customHeight="1" x14ac:dyDescent="0.3">
      <c r="B91" s="46" t="s">
        <v>53</v>
      </c>
      <c r="C91" s="53" t="s">
        <v>50</v>
      </c>
      <c r="D91" s="47">
        <v>41</v>
      </c>
      <c r="E91" s="46" t="s">
        <v>51</v>
      </c>
      <c r="F91" s="47" t="s">
        <v>55</v>
      </c>
      <c r="G91" s="136">
        <v>2.5999999999999999E-2</v>
      </c>
      <c r="H91" s="28" t="s">
        <v>14</v>
      </c>
      <c r="I91" s="50">
        <v>1100000</v>
      </c>
      <c r="J91" s="46" t="s">
        <v>15</v>
      </c>
      <c r="K91" s="59"/>
      <c r="L91" s="37"/>
      <c r="M91" s="17"/>
      <c r="N91" s="17"/>
      <c r="O91" s="17"/>
      <c r="P91" s="17"/>
      <c r="Q91" s="17"/>
      <c r="R91" s="17"/>
      <c r="S91" s="18"/>
      <c r="T91" s="18"/>
      <c r="U91" s="18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</row>
    <row r="92" spans="2:68" s="17" customFormat="1" ht="19.5" customHeight="1" x14ac:dyDescent="0.3">
      <c r="B92" s="33" t="s">
        <v>56</v>
      </c>
      <c r="C92" s="51" t="s">
        <v>57</v>
      </c>
      <c r="D92" s="38">
        <v>12</v>
      </c>
      <c r="E92" s="38"/>
      <c r="F92" s="38" t="s">
        <v>58</v>
      </c>
      <c r="G92" s="135">
        <v>0.38</v>
      </c>
      <c r="H92" s="28" t="s">
        <v>14</v>
      </c>
      <c r="I92" s="44">
        <v>490000</v>
      </c>
      <c r="J92" s="33" t="s">
        <v>15</v>
      </c>
      <c r="K92" s="52"/>
      <c r="L92" s="37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</row>
    <row r="93" spans="2:68" s="17" customFormat="1" ht="19.5" customHeight="1" x14ac:dyDescent="0.3">
      <c r="B93" s="33" t="s">
        <v>56</v>
      </c>
      <c r="C93" s="51" t="s">
        <v>57</v>
      </c>
      <c r="D93" s="38">
        <v>16</v>
      </c>
      <c r="E93" s="38"/>
      <c r="F93" s="38" t="s">
        <v>58</v>
      </c>
      <c r="G93" s="135">
        <v>0.35199999999999998</v>
      </c>
      <c r="H93" s="28" t="s">
        <v>14</v>
      </c>
      <c r="I93" s="44">
        <v>490000</v>
      </c>
      <c r="J93" s="33" t="s">
        <v>15</v>
      </c>
      <c r="K93" s="52"/>
      <c r="L93" s="37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</row>
    <row r="94" spans="2:68" s="17" customFormat="1" ht="19.5" customHeight="1" x14ac:dyDescent="0.3">
      <c r="B94" s="33" t="s">
        <v>56</v>
      </c>
      <c r="C94" s="51" t="s">
        <v>57</v>
      </c>
      <c r="D94" s="38">
        <v>80</v>
      </c>
      <c r="E94" s="38" t="s">
        <v>59</v>
      </c>
      <c r="F94" s="38" t="s">
        <v>58</v>
      </c>
      <c r="G94" s="135">
        <v>5.5E-2</v>
      </c>
      <c r="H94" s="28" t="s">
        <v>14</v>
      </c>
      <c r="I94" s="44">
        <v>490000</v>
      </c>
      <c r="J94" s="33" t="s">
        <v>15</v>
      </c>
      <c r="K94" s="52"/>
      <c r="L94" s="37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</row>
    <row r="95" spans="2:68" s="18" customFormat="1" ht="19.5" customHeight="1" x14ac:dyDescent="0.3">
      <c r="B95" s="33" t="s">
        <v>56</v>
      </c>
      <c r="C95" s="51" t="s">
        <v>60</v>
      </c>
      <c r="D95" s="38">
        <v>52</v>
      </c>
      <c r="E95" s="38"/>
      <c r="F95" s="38" t="s">
        <v>61</v>
      </c>
      <c r="G95" s="135">
        <v>3.3690000000000002</v>
      </c>
      <c r="H95" s="28" t="s">
        <v>14</v>
      </c>
      <c r="I95" s="44">
        <v>410000</v>
      </c>
      <c r="J95" s="33" t="s">
        <v>15</v>
      </c>
      <c r="K95" s="42"/>
      <c r="L95" s="43"/>
    </row>
    <row r="96" spans="2:68" s="18" customFormat="1" ht="19.5" customHeight="1" x14ac:dyDescent="0.3">
      <c r="B96" s="33" t="s">
        <v>56</v>
      </c>
      <c r="C96" s="51" t="s">
        <v>60</v>
      </c>
      <c r="D96" s="38">
        <v>80</v>
      </c>
      <c r="E96" s="38"/>
      <c r="F96" s="38" t="s">
        <v>62</v>
      </c>
      <c r="G96" s="135">
        <v>1.0960000000000001</v>
      </c>
      <c r="H96" s="28" t="s">
        <v>14</v>
      </c>
      <c r="I96" s="44">
        <v>430000</v>
      </c>
      <c r="J96" s="33" t="s">
        <v>15</v>
      </c>
      <c r="K96" s="42"/>
      <c r="L96" s="43"/>
    </row>
    <row r="97" spans="2:68" s="18" customFormat="1" ht="19.5" customHeight="1" x14ac:dyDescent="0.3">
      <c r="B97" s="33" t="s">
        <v>56</v>
      </c>
      <c r="C97" s="51" t="s">
        <v>60</v>
      </c>
      <c r="D97" s="38">
        <v>90</v>
      </c>
      <c r="E97" s="38"/>
      <c r="F97" s="38" t="s">
        <v>62</v>
      </c>
      <c r="G97" s="135">
        <v>2.5880000000000001</v>
      </c>
      <c r="H97" s="28" t="s">
        <v>14</v>
      </c>
      <c r="I97" s="44">
        <v>430000</v>
      </c>
      <c r="J97" s="33" t="s">
        <v>15</v>
      </c>
      <c r="K97" s="42"/>
      <c r="L97" s="43"/>
    </row>
    <row r="98" spans="2:68" s="18" customFormat="1" ht="19.5" customHeight="1" x14ac:dyDescent="0.3">
      <c r="B98" s="33" t="s">
        <v>56</v>
      </c>
      <c r="C98" s="51" t="s">
        <v>60</v>
      </c>
      <c r="D98" s="38">
        <v>100</v>
      </c>
      <c r="E98" s="38"/>
      <c r="F98" s="38" t="s">
        <v>62</v>
      </c>
      <c r="G98" s="135">
        <v>4.9210000000000003</v>
      </c>
      <c r="H98" s="28" t="s">
        <v>14</v>
      </c>
      <c r="I98" s="44">
        <v>460000</v>
      </c>
      <c r="J98" s="33" t="s">
        <v>15</v>
      </c>
      <c r="K98" s="42"/>
      <c r="L98" s="43"/>
    </row>
    <row r="99" spans="2:68" s="17" customFormat="1" ht="19.5" customHeight="1" x14ac:dyDescent="0.3">
      <c r="B99" s="33" t="s">
        <v>56</v>
      </c>
      <c r="C99" s="51" t="s">
        <v>63</v>
      </c>
      <c r="D99" s="38">
        <v>150</v>
      </c>
      <c r="E99" s="38"/>
      <c r="F99" s="38" t="s">
        <v>64</v>
      </c>
      <c r="G99" s="135">
        <v>0.2</v>
      </c>
      <c r="H99" s="28" t="s">
        <v>14</v>
      </c>
      <c r="I99" s="44">
        <v>430000</v>
      </c>
      <c r="J99" s="33" t="s">
        <v>15</v>
      </c>
      <c r="K99" s="52"/>
      <c r="L99" s="37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</row>
    <row r="100" spans="2:68" s="17" customFormat="1" ht="19.5" customHeight="1" x14ac:dyDescent="0.3">
      <c r="B100" s="33" t="s">
        <v>56</v>
      </c>
      <c r="C100" s="51" t="s">
        <v>63</v>
      </c>
      <c r="D100" s="38">
        <v>160</v>
      </c>
      <c r="E100" s="38"/>
      <c r="F100" s="38" t="s">
        <v>64</v>
      </c>
      <c r="G100" s="135">
        <v>2.0409999999999999</v>
      </c>
      <c r="H100" s="28" t="s">
        <v>14</v>
      </c>
      <c r="I100" s="44">
        <v>430000</v>
      </c>
      <c r="J100" s="33" t="s">
        <v>15</v>
      </c>
      <c r="K100" s="52"/>
      <c r="L100" s="37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</row>
    <row r="101" spans="2:68" s="18" customFormat="1" ht="19.5" customHeight="1" x14ac:dyDescent="0.3">
      <c r="B101" s="33" t="s">
        <v>40</v>
      </c>
      <c r="C101" s="51" t="s">
        <v>65</v>
      </c>
      <c r="D101" s="38">
        <v>26</v>
      </c>
      <c r="E101" s="38"/>
      <c r="F101" s="38" t="s">
        <v>66</v>
      </c>
      <c r="G101" s="135">
        <v>6.0999999999999999E-2</v>
      </c>
      <c r="H101" s="28" t="s">
        <v>14</v>
      </c>
      <c r="I101" s="44">
        <v>1390000</v>
      </c>
      <c r="J101" s="35" t="s">
        <v>15</v>
      </c>
      <c r="K101" s="52"/>
      <c r="L101" s="3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</row>
    <row r="102" spans="2:68" s="18" customFormat="1" ht="19.5" customHeight="1" x14ac:dyDescent="0.3">
      <c r="B102" s="33" t="s">
        <v>40</v>
      </c>
      <c r="C102" s="51" t="s">
        <v>67</v>
      </c>
      <c r="D102" s="38">
        <v>120</v>
      </c>
      <c r="E102" s="38"/>
      <c r="F102" s="38" t="s">
        <v>68</v>
      </c>
      <c r="G102" s="135">
        <v>0.12</v>
      </c>
      <c r="H102" s="28" t="s">
        <v>14</v>
      </c>
      <c r="I102" s="44">
        <v>4890000</v>
      </c>
      <c r="J102" s="35" t="s">
        <v>15</v>
      </c>
      <c r="K102" s="42"/>
      <c r="L102" s="43"/>
    </row>
    <row r="103" spans="2:68" s="18" customFormat="1" ht="19.5" customHeight="1" x14ac:dyDescent="0.3">
      <c r="B103" s="33" t="s">
        <v>40</v>
      </c>
      <c r="C103" s="38" t="s">
        <v>69</v>
      </c>
      <c r="D103" s="38">
        <v>45</v>
      </c>
      <c r="E103" s="38"/>
      <c r="F103" s="38" t="s">
        <v>70</v>
      </c>
      <c r="G103" s="135">
        <v>0.41699999999999998</v>
      </c>
      <c r="H103" s="28" t="s">
        <v>14</v>
      </c>
      <c r="I103" s="44">
        <v>790000</v>
      </c>
      <c r="J103" s="35" t="s">
        <v>15</v>
      </c>
      <c r="K103" s="42"/>
      <c r="L103" s="43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</row>
    <row r="104" spans="2:68" s="18" customFormat="1" ht="19.5" customHeight="1" x14ac:dyDescent="0.3">
      <c r="B104" s="33" t="s">
        <v>40</v>
      </c>
      <c r="C104" s="38" t="s">
        <v>71</v>
      </c>
      <c r="D104" s="38">
        <v>16</v>
      </c>
      <c r="E104" s="38"/>
      <c r="F104" s="38" t="s">
        <v>72</v>
      </c>
      <c r="G104" s="135">
        <v>1.609</v>
      </c>
      <c r="H104" s="28" t="s">
        <v>14</v>
      </c>
      <c r="I104" s="44">
        <v>590000</v>
      </c>
      <c r="J104" s="35" t="s">
        <v>15</v>
      </c>
      <c r="K104" s="42"/>
      <c r="L104" s="43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</row>
    <row r="105" spans="2:68" s="18" customFormat="1" ht="19.5" customHeight="1" x14ac:dyDescent="0.3">
      <c r="B105" s="61" t="s">
        <v>40</v>
      </c>
      <c r="C105" s="56" t="s">
        <v>71</v>
      </c>
      <c r="D105" s="56">
        <v>25</v>
      </c>
      <c r="E105" s="56"/>
      <c r="F105" s="56" t="s">
        <v>387</v>
      </c>
      <c r="G105" s="136">
        <v>3</v>
      </c>
      <c r="H105" s="28" t="s">
        <v>14</v>
      </c>
      <c r="I105" s="58"/>
      <c r="J105" s="46" t="s">
        <v>74</v>
      </c>
      <c r="K105" s="63"/>
      <c r="L105" s="43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</row>
    <row r="106" spans="2:68" s="18" customFormat="1" ht="19.5" customHeight="1" x14ac:dyDescent="0.3">
      <c r="B106" s="61" t="s">
        <v>40</v>
      </c>
      <c r="C106" s="56" t="s">
        <v>71</v>
      </c>
      <c r="D106" s="56">
        <v>30</v>
      </c>
      <c r="E106" s="56"/>
      <c r="F106" s="56" t="s">
        <v>73</v>
      </c>
      <c r="G106" s="136">
        <v>3</v>
      </c>
      <c r="H106" s="28" t="s">
        <v>14</v>
      </c>
      <c r="I106" s="58"/>
      <c r="J106" s="46" t="s">
        <v>74</v>
      </c>
      <c r="K106" s="63"/>
      <c r="L106" s="43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</row>
    <row r="107" spans="2:68" s="18" customFormat="1" ht="19.5" customHeight="1" x14ac:dyDescent="0.3">
      <c r="B107" s="33" t="s">
        <v>40</v>
      </c>
      <c r="C107" s="38" t="s">
        <v>71</v>
      </c>
      <c r="D107" s="38">
        <v>36</v>
      </c>
      <c r="E107" s="38"/>
      <c r="F107" s="38" t="s">
        <v>75</v>
      </c>
      <c r="G107" s="135">
        <v>4.8000000000000001E-2</v>
      </c>
      <c r="H107" s="28" t="s">
        <v>14</v>
      </c>
      <c r="I107" s="44">
        <v>590000</v>
      </c>
      <c r="J107" s="35" t="s">
        <v>76</v>
      </c>
      <c r="K107" s="42"/>
      <c r="L107" s="43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</row>
    <row r="108" spans="2:68" s="18" customFormat="1" ht="19.5" customHeight="1" x14ac:dyDescent="0.3">
      <c r="B108" s="61" t="s">
        <v>40</v>
      </c>
      <c r="C108" s="56" t="s">
        <v>71</v>
      </c>
      <c r="D108" s="56">
        <v>36</v>
      </c>
      <c r="E108" s="56"/>
      <c r="F108" s="56" t="s">
        <v>73</v>
      </c>
      <c r="G108" s="136">
        <v>3</v>
      </c>
      <c r="H108" s="28" t="s">
        <v>14</v>
      </c>
      <c r="I108" s="58"/>
      <c r="J108" s="46" t="s">
        <v>74</v>
      </c>
      <c r="K108" s="42"/>
      <c r="L108" s="43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</row>
    <row r="109" spans="2:68" s="18" customFormat="1" ht="19.5" customHeight="1" x14ac:dyDescent="0.3">
      <c r="B109" s="61" t="s">
        <v>40</v>
      </c>
      <c r="C109" s="56" t="s">
        <v>71</v>
      </c>
      <c r="D109" s="56">
        <v>40</v>
      </c>
      <c r="E109" s="56"/>
      <c r="F109" s="56" t="s">
        <v>73</v>
      </c>
      <c r="G109" s="136">
        <v>4</v>
      </c>
      <c r="H109" s="28" t="s">
        <v>14</v>
      </c>
      <c r="I109" s="58"/>
      <c r="J109" s="46" t="s">
        <v>74</v>
      </c>
      <c r="K109" s="42"/>
      <c r="L109" s="43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</row>
    <row r="110" spans="2:68" s="18" customFormat="1" ht="19.5" customHeight="1" x14ac:dyDescent="0.3">
      <c r="B110" s="61" t="s">
        <v>40</v>
      </c>
      <c r="C110" s="56" t="s">
        <v>71</v>
      </c>
      <c r="D110" s="56">
        <v>42</v>
      </c>
      <c r="E110" s="56"/>
      <c r="F110" s="56" t="s">
        <v>77</v>
      </c>
      <c r="G110" s="136">
        <v>0.06</v>
      </c>
      <c r="H110" s="28" t="s">
        <v>14</v>
      </c>
      <c r="I110" s="62">
        <v>590000</v>
      </c>
      <c r="J110" s="46" t="s">
        <v>15</v>
      </c>
      <c r="K110" s="42"/>
      <c r="L110" s="43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</row>
    <row r="111" spans="2:68" s="18" customFormat="1" ht="19.5" customHeight="1" x14ac:dyDescent="0.3">
      <c r="B111" s="61" t="s">
        <v>40</v>
      </c>
      <c r="C111" s="56" t="s">
        <v>71</v>
      </c>
      <c r="D111" s="56">
        <v>48</v>
      </c>
      <c r="E111" s="56"/>
      <c r="F111" s="56" t="s">
        <v>77</v>
      </c>
      <c r="G111" s="136">
        <v>7.0999999999999994E-2</v>
      </c>
      <c r="H111" s="28" t="s">
        <v>14</v>
      </c>
      <c r="I111" s="62">
        <v>590000</v>
      </c>
      <c r="J111" s="46" t="s">
        <v>15</v>
      </c>
      <c r="K111" s="42"/>
      <c r="L111" s="43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</row>
    <row r="112" spans="2:68" s="18" customFormat="1" ht="19.5" customHeight="1" x14ac:dyDescent="0.3">
      <c r="B112" s="64" t="s">
        <v>40</v>
      </c>
      <c r="C112" s="65" t="s">
        <v>71</v>
      </c>
      <c r="D112" s="65">
        <v>50</v>
      </c>
      <c r="E112" s="65"/>
      <c r="F112" s="56" t="s">
        <v>78</v>
      </c>
      <c r="G112" s="137">
        <v>2.9489999999999998</v>
      </c>
      <c r="H112" s="28" t="s">
        <v>14</v>
      </c>
      <c r="I112" s="62">
        <v>590000</v>
      </c>
      <c r="J112" s="46" t="s">
        <v>15</v>
      </c>
      <c r="K112" s="42"/>
      <c r="L112" s="43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</row>
    <row r="113" spans="2:68" s="18" customFormat="1" ht="19.5" customHeight="1" x14ac:dyDescent="0.3">
      <c r="B113" s="64" t="s">
        <v>40</v>
      </c>
      <c r="C113" s="65" t="s">
        <v>71</v>
      </c>
      <c r="D113" s="65">
        <v>60</v>
      </c>
      <c r="E113" s="65"/>
      <c r="F113" s="56" t="s">
        <v>78</v>
      </c>
      <c r="G113" s="137">
        <v>4.1280000000000001</v>
      </c>
      <c r="H113" s="28" t="s">
        <v>14</v>
      </c>
      <c r="I113" s="62">
        <v>398000</v>
      </c>
      <c r="J113" s="46" t="s">
        <v>15</v>
      </c>
      <c r="K113" s="42"/>
      <c r="L113" s="43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</row>
    <row r="114" spans="2:68" s="18" customFormat="1" ht="19.5" customHeight="1" x14ac:dyDescent="0.3">
      <c r="B114" s="61" t="s">
        <v>40</v>
      </c>
      <c r="C114" s="56" t="s">
        <v>71</v>
      </c>
      <c r="D114" s="56">
        <v>65</v>
      </c>
      <c r="E114" s="56"/>
      <c r="F114" s="56" t="s">
        <v>73</v>
      </c>
      <c r="G114" s="136">
        <v>5</v>
      </c>
      <c r="H114" s="28" t="s">
        <v>14</v>
      </c>
      <c r="I114" s="58"/>
      <c r="J114" s="46" t="s">
        <v>74</v>
      </c>
      <c r="K114" s="42"/>
      <c r="L114" s="43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</row>
    <row r="115" spans="2:68" s="18" customFormat="1" ht="19.5" customHeight="1" x14ac:dyDescent="0.3">
      <c r="B115" s="64" t="s">
        <v>40</v>
      </c>
      <c r="C115" s="65" t="s">
        <v>71</v>
      </c>
      <c r="D115" s="65">
        <v>70</v>
      </c>
      <c r="E115" s="65"/>
      <c r="F115" s="65" t="s">
        <v>79</v>
      </c>
      <c r="G115" s="137">
        <v>1.47</v>
      </c>
      <c r="H115" s="28" t="s">
        <v>14</v>
      </c>
      <c r="I115" s="62">
        <v>398000</v>
      </c>
      <c r="J115" s="46" t="s">
        <v>15</v>
      </c>
      <c r="K115" s="59"/>
      <c r="L115" s="43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</row>
    <row r="116" spans="2:68" s="18" customFormat="1" ht="19.5" customHeight="1" x14ac:dyDescent="0.3">
      <c r="B116" s="61" t="s">
        <v>40</v>
      </c>
      <c r="C116" s="56" t="s">
        <v>71</v>
      </c>
      <c r="D116" s="56">
        <v>75</v>
      </c>
      <c r="E116" s="56"/>
      <c r="F116" s="56" t="s">
        <v>73</v>
      </c>
      <c r="G116" s="136">
        <v>5</v>
      </c>
      <c r="H116" s="28" t="s">
        <v>14</v>
      </c>
      <c r="I116" s="58"/>
      <c r="J116" s="46" t="s">
        <v>74</v>
      </c>
      <c r="K116" s="59"/>
      <c r="L116" s="43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</row>
    <row r="117" spans="2:68" s="18" customFormat="1" ht="19.5" customHeight="1" x14ac:dyDescent="0.3">
      <c r="B117" s="64" t="s">
        <v>40</v>
      </c>
      <c r="C117" s="65" t="s">
        <v>71</v>
      </c>
      <c r="D117" s="65">
        <v>80</v>
      </c>
      <c r="E117" s="65"/>
      <c r="F117" s="65" t="s">
        <v>79</v>
      </c>
      <c r="G117" s="142">
        <v>3.1259999999999999</v>
      </c>
      <c r="H117" s="28" t="s">
        <v>14</v>
      </c>
      <c r="I117" s="62">
        <v>398000</v>
      </c>
      <c r="J117" s="46" t="s">
        <v>15</v>
      </c>
      <c r="K117" s="59"/>
      <c r="L117" s="43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</row>
    <row r="118" spans="2:68" s="17" customFormat="1" ht="19.5" customHeight="1" x14ac:dyDescent="0.3">
      <c r="B118" s="61" t="s">
        <v>40</v>
      </c>
      <c r="C118" s="56" t="s">
        <v>71</v>
      </c>
      <c r="D118" s="56">
        <v>85</v>
      </c>
      <c r="E118" s="56"/>
      <c r="F118" s="56" t="s">
        <v>80</v>
      </c>
      <c r="G118" s="136">
        <v>1.38</v>
      </c>
      <c r="H118" s="28" t="s">
        <v>14</v>
      </c>
      <c r="I118" s="62">
        <v>398000</v>
      </c>
      <c r="J118" s="46" t="s">
        <v>15</v>
      </c>
      <c r="K118" s="42"/>
      <c r="L118" s="43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</row>
    <row r="119" spans="2:68" s="17" customFormat="1" ht="19.5" customHeight="1" x14ac:dyDescent="0.3">
      <c r="B119" s="33" t="s">
        <v>40</v>
      </c>
      <c r="C119" s="38" t="s">
        <v>71</v>
      </c>
      <c r="D119" s="38">
        <v>100</v>
      </c>
      <c r="E119" s="38"/>
      <c r="F119" s="38" t="s">
        <v>81</v>
      </c>
      <c r="G119" s="135">
        <v>3.556</v>
      </c>
      <c r="H119" s="28" t="s">
        <v>14</v>
      </c>
      <c r="I119" s="44">
        <v>398000</v>
      </c>
      <c r="J119" s="35" t="s">
        <v>15</v>
      </c>
      <c r="K119" s="42" t="s">
        <v>82</v>
      </c>
      <c r="L119" s="43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</row>
    <row r="120" spans="2:68" s="17" customFormat="1" ht="19.5" customHeight="1" x14ac:dyDescent="0.3">
      <c r="B120" s="61" t="s">
        <v>40</v>
      </c>
      <c r="C120" s="56" t="s">
        <v>71</v>
      </c>
      <c r="D120" s="56">
        <v>110</v>
      </c>
      <c r="E120" s="56"/>
      <c r="F120" s="56" t="s">
        <v>83</v>
      </c>
      <c r="G120" s="136">
        <v>18</v>
      </c>
      <c r="H120" s="28" t="s">
        <v>14</v>
      </c>
      <c r="I120" s="62"/>
      <c r="J120" s="46" t="s">
        <v>74</v>
      </c>
      <c r="K120" s="42"/>
      <c r="L120" s="43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</row>
    <row r="121" spans="2:68" s="17" customFormat="1" ht="19.5" customHeight="1" x14ac:dyDescent="0.3">
      <c r="B121" s="33" t="s">
        <v>40</v>
      </c>
      <c r="C121" s="38" t="s">
        <v>71</v>
      </c>
      <c r="D121" s="38">
        <v>120</v>
      </c>
      <c r="E121" s="38"/>
      <c r="F121" s="38" t="s">
        <v>81</v>
      </c>
      <c r="G121" s="135">
        <v>7.5999999999999998E-2</v>
      </c>
      <c r="H121" s="28" t="s">
        <v>14</v>
      </c>
      <c r="I121" s="44">
        <v>398000</v>
      </c>
      <c r="J121" s="35" t="s">
        <v>15</v>
      </c>
      <c r="K121" s="42"/>
      <c r="L121" s="43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</row>
    <row r="122" spans="2:68" s="17" customFormat="1" ht="19.5" customHeight="1" x14ac:dyDescent="0.3">
      <c r="B122" s="61" t="s">
        <v>40</v>
      </c>
      <c r="C122" s="56" t="s">
        <v>71</v>
      </c>
      <c r="D122" s="56">
        <v>120</v>
      </c>
      <c r="E122" s="56"/>
      <c r="F122" s="56" t="s">
        <v>83</v>
      </c>
      <c r="G122" s="136">
        <v>13</v>
      </c>
      <c r="H122" s="28" t="s">
        <v>14</v>
      </c>
      <c r="I122" s="62"/>
      <c r="J122" s="46" t="s">
        <v>74</v>
      </c>
      <c r="K122" s="42"/>
      <c r="L122" s="43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</row>
    <row r="123" spans="2:68" s="17" customFormat="1" ht="19.5" customHeight="1" x14ac:dyDescent="0.3">
      <c r="B123" s="61" t="s">
        <v>40</v>
      </c>
      <c r="C123" s="56" t="s">
        <v>71</v>
      </c>
      <c r="D123" s="56">
        <v>130</v>
      </c>
      <c r="E123" s="56"/>
      <c r="F123" s="56"/>
      <c r="G123" s="136">
        <v>10</v>
      </c>
      <c r="H123" s="28"/>
      <c r="I123" s="62"/>
      <c r="J123" s="46" t="s">
        <v>74</v>
      </c>
      <c r="K123" s="42"/>
      <c r="L123" s="43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</row>
    <row r="124" spans="2:68" s="17" customFormat="1" ht="19.5" customHeight="1" x14ac:dyDescent="0.3">
      <c r="B124" s="33" t="s">
        <v>40</v>
      </c>
      <c r="C124" s="38" t="s">
        <v>71</v>
      </c>
      <c r="D124" s="38">
        <v>130</v>
      </c>
      <c r="E124" s="38"/>
      <c r="F124" s="38" t="s">
        <v>81</v>
      </c>
      <c r="G124" s="135">
        <v>0.59899999999999998</v>
      </c>
      <c r="H124" s="28" t="s">
        <v>14</v>
      </c>
      <c r="I124" s="44">
        <v>398000</v>
      </c>
      <c r="J124" s="35" t="s">
        <v>15</v>
      </c>
      <c r="K124" s="42"/>
      <c r="L124" s="43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</row>
    <row r="125" spans="2:68" s="17" customFormat="1" ht="19.5" customHeight="1" x14ac:dyDescent="0.3">
      <c r="B125" s="61" t="s">
        <v>40</v>
      </c>
      <c r="C125" s="56" t="s">
        <v>71</v>
      </c>
      <c r="D125" s="56">
        <v>140</v>
      </c>
      <c r="E125" s="56"/>
      <c r="F125" s="56" t="s">
        <v>83</v>
      </c>
      <c r="G125" s="136">
        <v>13</v>
      </c>
      <c r="H125" s="28" t="s">
        <v>14</v>
      </c>
      <c r="I125" s="62"/>
      <c r="J125" s="46" t="s">
        <v>74</v>
      </c>
      <c r="K125" s="42"/>
      <c r="L125" s="43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</row>
    <row r="126" spans="2:68" s="17" customFormat="1" ht="19.5" customHeight="1" x14ac:dyDescent="0.3">
      <c r="B126" s="33" t="s">
        <v>40</v>
      </c>
      <c r="C126" s="38" t="s">
        <v>71</v>
      </c>
      <c r="D126" s="38">
        <v>150</v>
      </c>
      <c r="E126" s="38"/>
      <c r="F126" s="38" t="s">
        <v>84</v>
      </c>
      <c r="G126" s="135">
        <v>1</v>
      </c>
      <c r="H126" s="28" t="s">
        <v>14</v>
      </c>
      <c r="I126" s="44">
        <v>398000</v>
      </c>
      <c r="J126" s="35" t="s">
        <v>15</v>
      </c>
      <c r="K126" s="42"/>
      <c r="L126" s="43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</row>
    <row r="127" spans="2:68" s="17" customFormat="1" ht="19.5" customHeight="1" x14ac:dyDescent="0.3">
      <c r="B127" s="61" t="s">
        <v>40</v>
      </c>
      <c r="C127" s="56" t="s">
        <v>71</v>
      </c>
      <c r="D127" s="56">
        <v>150</v>
      </c>
      <c r="E127" s="56"/>
      <c r="F127" s="56" t="s">
        <v>83</v>
      </c>
      <c r="G127" s="136">
        <v>11</v>
      </c>
      <c r="H127" s="28" t="s">
        <v>14</v>
      </c>
      <c r="I127" s="62"/>
      <c r="J127" s="46" t="s">
        <v>74</v>
      </c>
      <c r="K127" s="42"/>
      <c r="L127" s="43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</row>
    <row r="128" spans="2:68" s="17" customFormat="1" ht="19.5" customHeight="1" x14ac:dyDescent="0.3">
      <c r="B128" s="33" t="s">
        <v>40</v>
      </c>
      <c r="C128" s="38" t="s">
        <v>71</v>
      </c>
      <c r="D128" s="38">
        <v>160</v>
      </c>
      <c r="E128" s="38"/>
      <c r="F128" s="38" t="s">
        <v>81</v>
      </c>
      <c r="G128" s="135">
        <v>4.4569999999999999</v>
      </c>
      <c r="H128" s="28" t="s">
        <v>14</v>
      </c>
      <c r="I128" s="44">
        <v>398000</v>
      </c>
      <c r="J128" s="35" t="s">
        <v>15</v>
      </c>
      <c r="K128" s="42"/>
      <c r="L128" s="43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</row>
    <row r="129" spans="2:68" s="17" customFormat="1" ht="19.5" customHeight="1" x14ac:dyDescent="0.3">
      <c r="B129" s="126" t="s">
        <v>40</v>
      </c>
      <c r="C129" s="127" t="s">
        <v>71</v>
      </c>
      <c r="D129" s="127">
        <v>170</v>
      </c>
      <c r="E129" s="127"/>
      <c r="F129" s="127"/>
      <c r="G129" s="138">
        <v>5</v>
      </c>
      <c r="H129" s="67" t="s">
        <v>14</v>
      </c>
      <c r="I129" s="129"/>
      <c r="J129" s="46" t="s">
        <v>74</v>
      </c>
      <c r="K129" s="42"/>
      <c r="L129" s="43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</row>
    <row r="130" spans="2:68" s="17" customFormat="1" ht="19.5" customHeight="1" x14ac:dyDescent="0.3">
      <c r="B130" s="33" t="s">
        <v>40</v>
      </c>
      <c r="C130" s="38" t="s">
        <v>71</v>
      </c>
      <c r="D130" s="38">
        <v>170</v>
      </c>
      <c r="E130" s="38"/>
      <c r="F130" s="38" t="s">
        <v>81</v>
      </c>
      <c r="G130" s="135">
        <v>0.20499999999999999</v>
      </c>
      <c r="H130" s="28" t="s">
        <v>14</v>
      </c>
      <c r="I130" s="44">
        <v>398000</v>
      </c>
      <c r="J130" s="35" t="s">
        <v>15</v>
      </c>
      <c r="K130" s="42"/>
      <c r="L130" s="43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</row>
    <row r="131" spans="2:68" s="17" customFormat="1" ht="19.5" customHeight="1" x14ac:dyDescent="0.3">
      <c r="B131" s="33" t="s">
        <v>40</v>
      </c>
      <c r="C131" s="38" t="s">
        <v>71</v>
      </c>
      <c r="D131" s="38">
        <v>180</v>
      </c>
      <c r="E131" s="38"/>
      <c r="F131" s="38" t="s">
        <v>84</v>
      </c>
      <c r="G131" s="135">
        <v>5.1859999999999999</v>
      </c>
      <c r="H131" s="28" t="s">
        <v>14</v>
      </c>
      <c r="I131" s="44">
        <v>398000</v>
      </c>
      <c r="J131" s="35" t="s">
        <v>15</v>
      </c>
      <c r="K131" s="42"/>
      <c r="L131" s="43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</row>
    <row r="132" spans="2:68" s="17" customFormat="1" ht="19.5" customHeight="1" x14ac:dyDescent="0.3">
      <c r="B132" s="126" t="s">
        <v>40</v>
      </c>
      <c r="C132" s="127" t="s">
        <v>71</v>
      </c>
      <c r="D132" s="127">
        <v>190</v>
      </c>
      <c r="E132" s="127"/>
      <c r="F132" s="127" t="s">
        <v>81</v>
      </c>
      <c r="G132" s="138">
        <v>5</v>
      </c>
      <c r="H132" s="28" t="s">
        <v>14</v>
      </c>
      <c r="I132" s="44">
        <v>398000</v>
      </c>
      <c r="J132" s="46" t="s">
        <v>74</v>
      </c>
      <c r="K132" s="42"/>
      <c r="L132" s="43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</row>
    <row r="133" spans="2:68" s="17" customFormat="1" ht="19.5" customHeight="1" x14ac:dyDescent="0.3">
      <c r="B133" s="64" t="s">
        <v>40</v>
      </c>
      <c r="C133" s="65" t="s">
        <v>71</v>
      </c>
      <c r="D133" s="65">
        <v>200</v>
      </c>
      <c r="E133" s="65"/>
      <c r="F133" s="127" t="s">
        <v>391</v>
      </c>
      <c r="G133" s="138">
        <v>24.515999999999998</v>
      </c>
      <c r="H133" s="28" t="s">
        <v>14</v>
      </c>
      <c r="I133" s="62">
        <v>398000</v>
      </c>
      <c r="J133" s="46" t="s">
        <v>15</v>
      </c>
      <c r="K133" s="42"/>
      <c r="L133" s="43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</row>
    <row r="134" spans="2:68" s="20" customFormat="1" ht="19.5" customHeight="1" x14ac:dyDescent="0.3">
      <c r="B134" s="64" t="s">
        <v>40</v>
      </c>
      <c r="C134" s="65" t="s">
        <v>71</v>
      </c>
      <c r="D134" s="65">
        <v>220</v>
      </c>
      <c r="E134" s="65"/>
      <c r="F134" s="65" t="s">
        <v>392</v>
      </c>
      <c r="G134" s="137">
        <v>1.2729999999999999</v>
      </c>
      <c r="H134" s="28" t="s">
        <v>14</v>
      </c>
      <c r="I134" s="62">
        <v>398000</v>
      </c>
      <c r="J134" s="46" t="s">
        <v>15</v>
      </c>
      <c r="K134" s="59"/>
      <c r="L134" s="43"/>
      <c r="M134" s="18"/>
      <c r="N134" s="18"/>
      <c r="O134" s="18"/>
      <c r="P134" s="18"/>
      <c r="Q134" s="18"/>
      <c r="R134" s="18"/>
      <c r="S134" s="18"/>
      <c r="T134" s="18"/>
      <c r="U134" s="18"/>
      <c r="V134" s="66"/>
      <c r="W134" s="66"/>
      <c r="X134" s="66"/>
      <c r="Y134" s="66"/>
      <c r="Z134" s="66"/>
      <c r="AA134" s="66"/>
      <c r="AB134" s="66"/>
      <c r="AC134" s="66"/>
      <c r="AD134" s="66"/>
      <c r="AE134" s="66"/>
      <c r="AF134" s="66"/>
      <c r="AG134" s="66"/>
      <c r="AH134" s="66"/>
      <c r="AI134" s="66"/>
      <c r="AJ134" s="66"/>
      <c r="AK134" s="66"/>
      <c r="AL134" s="66"/>
      <c r="AM134" s="66"/>
      <c r="AN134" s="66"/>
      <c r="AO134" s="66"/>
      <c r="AP134" s="66"/>
      <c r="AQ134" s="66"/>
      <c r="AR134" s="66"/>
      <c r="AS134" s="66"/>
      <c r="AT134" s="66"/>
      <c r="AU134" s="66"/>
      <c r="AV134" s="66"/>
      <c r="AW134" s="66"/>
      <c r="AX134" s="66"/>
      <c r="AY134" s="66"/>
      <c r="AZ134" s="66"/>
      <c r="BA134" s="66"/>
      <c r="BB134" s="66"/>
      <c r="BC134" s="66"/>
      <c r="BD134" s="66"/>
      <c r="BE134" s="66"/>
      <c r="BF134" s="66"/>
      <c r="BG134" s="66"/>
      <c r="BH134" s="66"/>
      <c r="BI134" s="66"/>
      <c r="BJ134" s="66"/>
      <c r="BK134" s="66"/>
      <c r="BL134" s="66"/>
      <c r="BM134" s="66"/>
      <c r="BN134" s="66"/>
      <c r="BO134" s="66"/>
      <c r="BP134" s="66"/>
    </row>
    <row r="135" spans="2:68" s="20" customFormat="1" ht="19.5" customHeight="1" x14ac:dyDescent="0.3">
      <c r="B135" s="64" t="s">
        <v>40</v>
      </c>
      <c r="C135" s="65" t="s">
        <v>71</v>
      </c>
      <c r="D135" s="65">
        <v>220</v>
      </c>
      <c r="E135" s="65"/>
      <c r="F135" s="65" t="s">
        <v>85</v>
      </c>
      <c r="G135" s="137">
        <v>4</v>
      </c>
      <c r="H135" s="28" t="s">
        <v>14</v>
      </c>
      <c r="I135" s="62">
        <v>398000</v>
      </c>
      <c r="J135" s="46" t="s">
        <v>74</v>
      </c>
      <c r="K135" s="59"/>
      <c r="L135" s="43"/>
      <c r="M135" s="18"/>
      <c r="N135" s="18"/>
      <c r="O135" s="18"/>
      <c r="P135" s="18"/>
      <c r="Q135" s="18"/>
      <c r="R135" s="18"/>
      <c r="S135" s="18"/>
      <c r="T135" s="18"/>
      <c r="U135" s="18"/>
      <c r="V135" s="66"/>
      <c r="W135" s="66"/>
      <c r="X135" s="66"/>
      <c r="Y135" s="66"/>
      <c r="Z135" s="66"/>
      <c r="AA135" s="66"/>
      <c r="AB135" s="66"/>
      <c r="AC135" s="66"/>
      <c r="AD135" s="66"/>
      <c r="AE135" s="66"/>
      <c r="AF135" s="66"/>
      <c r="AG135" s="66"/>
      <c r="AH135" s="66"/>
      <c r="AI135" s="66"/>
      <c r="AJ135" s="66"/>
      <c r="AK135" s="66"/>
      <c r="AL135" s="66"/>
      <c r="AM135" s="66"/>
      <c r="AN135" s="66"/>
      <c r="AO135" s="66"/>
      <c r="AP135" s="66"/>
      <c r="AQ135" s="66"/>
      <c r="AR135" s="66"/>
      <c r="AS135" s="66"/>
      <c r="AT135" s="66"/>
      <c r="AU135" s="66"/>
      <c r="AV135" s="66"/>
      <c r="AW135" s="66"/>
      <c r="AX135" s="66"/>
      <c r="AY135" s="66"/>
      <c r="AZ135" s="66"/>
      <c r="BA135" s="66"/>
      <c r="BB135" s="66"/>
      <c r="BC135" s="66"/>
      <c r="BD135" s="66"/>
      <c r="BE135" s="66"/>
      <c r="BF135" s="66"/>
      <c r="BG135" s="66"/>
      <c r="BH135" s="66"/>
      <c r="BI135" s="66"/>
      <c r="BJ135" s="66"/>
      <c r="BK135" s="66"/>
      <c r="BL135" s="66"/>
      <c r="BM135" s="66"/>
      <c r="BN135" s="66"/>
      <c r="BO135" s="66"/>
      <c r="BP135" s="66"/>
    </row>
    <row r="136" spans="2:68" s="20" customFormat="1" ht="19.5" customHeight="1" x14ac:dyDescent="0.3">
      <c r="B136" s="64" t="s">
        <v>40</v>
      </c>
      <c r="C136" s="65" t="s">
        <v>71</v>
      </c>
      <c r="D136" s="65">
        <v>230</v>
      </c>
      <c r="E136" s="65"/>
      <c r="F136" s="65" t="s">
        <v>392</v>
      </c>
      <c r="G136" s="137">
        <v>21.035</v>
      </c>
      <c r="H136" s="28" t="s">
        <v>14</v>
      </c>
      <c r="I136" s="62">
        <v>398000</v>
      </c>
      <c r="J136" s="46" t="s">
        <v>15</v>
      </c>
      <c r="K136" s="59"/>
      <c r="L136" s="43"/>
      <c r="M136" s="18"/>
      <c r="N136" s="18"/>
      <c r="O136" s="18"/>
      <c r="P136" s="18"/>
      <c r="Q136" s="18"/>
      <c r="R136" s="18"/>
      <c r="S136" s="18"/>
      <c r="T136" s="18"/>
      <c r="U136" s="18"/>
      <c r="V136" s="66"/>
      <c r="W136" s="66"/>
      <c r="X136" s="66"/>
      <c r="Y136" s="66"/>
      <c r="Z136" s="66"/>
      <c r="AA136" s="66"/>
      <c r="AB136" s="66"/>
      <c r="AC136" s="66"/>
      <c r="AD136" s="66"/>
      <c r="AE136" s="66"/>
      <c r="AF136" s="66"/>
      <c r="AG136" s="66"/>
      <c r="AH136" s="66"/>
      <c r="AI136" s="66"/>
      <c r="AJ136" s="66"/>
      <c r="AK136" s="66"/>
      <c r="AL136" s="66"/>
      <c r="AM136" s="66"/>
      <c r="AN136" s="66"/>
      <c r="AO136" s="66"/>
      <c r="AP136" s="66"/>
      <c r="AQ136" s="66"/>
      <c r="AR136" s="66"/>
      <c r="AS136" s="66"/>
      <c r="AT136" s="66"/>
      <c r="AU136" s="66"/>
      <c r="AV136" s="66"/>
      <c r="AW136" s="66"/>
      <c r="AX136" s="66"/>
      <c r="AY136" s="66"/>
      <c r="AZ136" s="66"/>
      <c r="BA136" s="66"/>
      <c r="BB136" s="66"/>
      <c r="BC136" s="66"/>
      <c r="BD136" s="66"/>
      <c r="BE136" s="66"/>
      <c r="BF136" s="66"/>
      <c r="BG136" s="66"/>
      <c r="BH136" s="66"/>
      <c r="BI136" s="66"/>
      <c r="BJ136" s="66"/>
      <c r="BK136" s="66"/>
      <c r="BL136" s="66"/>
      <c r="BM136" s="66"/>
      <c r="BN136" s="66"/>
      <c r="BO136" s="66"/>
      <c r="BP136" s="66"/>
    </row>
    <row r="137" spans="2:68" s="20" customFormat="1" ht="19.5" customHeight="1" x14ac:dyDescent="0.3">
      <c r="B137" s="64" t="s">
        <v>40</v>
      </c>
      <c r="C137" s="65" t="s">
        <v>71</v>
      </c>
      <c r="D137" s="65">
        <v>250</v>
      </c>
      <c r="E137" s="65"/>
      <c r="F137" s="65" t="s">
        <v>392</v>
      </c>
      <c r="G137" s="137">
        <v>8.42</v>
      </c>
      <c r="H137" s="28" t="s">
        <v>14</v>
      </c>
      <c r="I137" s="62">
        <v>398000</v>
      </c>
      <c r="J137" s="46" t="s">
        <v>15</v>
      </c>
      <c r="K137" s="59"/>
      <c r="L137" s="43"/>
      <c r="M137" s="18"/>
      <c r="N137" s="18"/>
      <c r="O137" s="18"/>
      <c r="P137" s="18"/>
      <c r="Q137" s="18"/>
      <c r="R137" s="18"/>
      <c r="S137" s="18"/>
      <c r="T137" s="18"/>
      <c r="U137" s="18"/>
      <c r="V137" s="66"/>
      <c r="W137" s="66"/>
      <c r="X137" s="66"/>
      <c r="Y137" s="66"/>
      <c r="Z137" s="66"/>
      <c r="AA137" s="66"/>
      <c r="AB137" s="66"/>
      <c r="AC137" s="66"/>
      <c r="AD137" s="66"/>
      <c r="AE137" s="66"/>
      <c r="AF137" s="66"/>
      <c r="AG137" s="66"/>
      <c r="AH137" s="66"/>
      <c r="AI137" s="66"/>
      <c r="AJ137" s="66"/>
      <c r="AK137" s="66"/>
      <c r="AL137" s="66"/>
      <c r="AM137" s="66"/>
      <c r="AN137" s="66"/>
      <c r="AO137" s="66"/>
      <c r="AP137" s="66"/>
      <c r="AQ137" s="66"/>
      <c r="AR137" s="66"/>
      <c r="AS137" s="66"/>
      <c r="AT137" s="66"/>
      <c r="AU137" s="66"/>
      <c r="AV137" s="66"/>
      <c r="AW137" s="66"/>
      <c r="AX137" s="66"/>
      <c r="AY137" s="66"/>
      <c r="AZ137" s="66"/>
      <c r="BA137" s="66"/>
      <c r="BB137" s="66"/>
      <c r="BC137" s="66"/>
      <c r="BD137" s="66"/>
      <c r="BE137" s="66"/>
      <c r="BF137" s="66"/>
      <c r="BG137" s="66"/>
      <c r="BH137" s="66"/>
      <c r="BI137" s="66"/>
      <c r="BJ137" s="66"/>
      <c r="BK137" s="66"/>
      <c r="BL137" s="66"/>
      <c r="BM137" s="66"/>
      <c r="BN137" s="66"/>
      <c r="BO137" s="66"/>
      <c r="BP137" s="66"/>
    </row>
    <row r="138" spans="2:68" s="20" customFormat="1" ht="19.5" customHeight="1" x14ac:dyDescent="0.3">
      <c r="B138" s="64" t="s">
        <v>40</v>
      </c>
      <c r="C138" s="65" t="s">
        <v>71</v>
      </c>
      <c r="D138" s="65">
        <v>250</v>
      </c>
      <c r="E138" s="65"/>
      <c r="F138" s="65" t="s">
        <v>79</v>
      </c>
      <c r="G138" s="137">
        <v>2.4449999999999998</v>
      </c>
      <c r="H138" s="28" t="s">
        <v>14</v>
      </c>
      <c r="I138" s="62">
        <v>398000</v>
      </c>
      <c r="J138" s="46" t="s">
        <v>15</v>
      </c>
      <c r="K138" s="59"/>
      <c r="L138" s="43"/>
      <c r="M138" s="18"/>
      <c r="N138" s="18"/>
      <c r="O138" s="18"/>
      <c r="P138" s="18"/>
      <c r="Q138" s="18"/>
      <c r="R138" s="18"/>
      <c r="S138" s="18"/>
      <c r="T138" s="18"/>
      <c r="U138" s="18"/>
      <c r="V138" s="66"/>
      <c r="W138" s="66"/>
      <c r="X138" s="66"/>
      <c r="Y138" s="66"/>
      <c r="Z138" s="66"/>
      <c r="AA138" s="66"/>
      <c r="AB138" s="66"/>
      <c r="AC138" s="66"/>
      <c r="AD138" s="66"/>
      <c r="AE138" s="66"/>
      <c r="AF138" s="66"/>
      <c r="AG138" s="66"/>
      <c r="AH138" s="66"/>
      <c r="AI138" s="66"/>
      <c r="AJ138" s="66"/>
      <c r="AK138" s="66"/>
      <c r="AL138" s="66"/>
      <c r="AM138" s="66"/>
      <c r="AN138" s="66"/>
      <c r="AO138" s="66"/>
      <c r="AP138" s="66"/>
      <c r="AQ138" s="66"/>
      <c r="AR138" s="66"/>
      <c r="AS138" s="66"/>
      <c r="AT138" s="66"/>
      <c r="AU138" s="66"/>
      <c r="AV138" s="66"/>
      <c r="AW138" s="66"/>
      <c r="AX138" s="66"/>
      <c r="AY138" s="66"/>
      <c r="AZ138" s="66"/>
      <c r="BA138" s="66"/>
      <c r="BB138" s="66"/>
      <c r="BC138" s="66"/>
      <c r="BD138" s="66"/>
      <c r="BE138" s="66"/>
      <c r="BF138" s="66"/>
      <c r="BG138" s="66"/>
      <c r="BH138" s="66"/>
      <c r="BI138" s="66"/>
      <c r="BJ138" s="66"/>
      <c r="BK138" s="66"/>
      <c r="BL138" s="66"/>
      <c r="BM138" s="66"/>
      <c r="BN138" s="66"/>
      <c r="BO138" s="66"/>
      <c r="BP138" s="66"/>
    </row>
    <row r="139" spans="2:68" s="18" customFormat="1" ht="19.5" customHeight="1" x14ac:dyDescent="0.3">
      <c r="B139" s="33" t="s">
        <v>40</v>
      </c>
      <c r="C139" s="38" t="s">
        <v>11</v>
      </c>
      <c r="D139" s="38">
        <v>12</v>
      </c>
      <c r="E139" s="38"/>
      <c r="F139" s="38" t="s">
        <v>86</v>
      </c>
      <c r="G139" s="135">
        <v>6.8000000000000005E-2</v>
      </c>
      <c r="H139" s="28" t="s">
        <v>14</v>
      </c>
      <c r="I139" s="44">
        <v>540000</v>
      </c>
      <c r="J139" s="35" t="s">
        <v>15</v>
      </c>
      <c r="K139" s="42"/>
      <c r="L139" s="43"/>
    </row>
    <row r="140" spans="2:68" s="18" customFormat="1" ht="19.5" customHeight="1" x14ac:dyDescent="0.3">
      <c r="B140" s="33" t="s">
        <v>40</v>
      </c>
      <c r="C140" s="38" t="s">
        <v>19</v>
      </c>
      <c r="D140" s="38">
        <v>20</v>
      </c>
      <c r="E140" s="38" t="s">
        <v>87</v>
      </c>
      <c r="F140" s="38" t="s">
        <v>88</v>
      </c>
      <c r="G140" s="135">
        <v>3.9E-2</v>
      </c>
      <c r="H140" s="28" t="s">
        <v>14</v>
      </c>
      <c r="I140" s="41"/>
      <c r="J140" s="35"/>
      <c r="K140" s="52"/>
      <c r="L140" s="3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</row>
    <row r="141" spans="2:68" s="18" customFormat="1" ht="19.5" customHeight="1" x14ac:dyDescent="0.3">
      <c r="B141" s="33" t="s">
        <v>40</v>
      </c>
      <c r="C141" s="38" t="s">
        <v>19</v>
      </c>
      <c r="D141" s="38">
        <v>22</v>
      </c>
      <c r="E141" s="38"/>
      <c r="F141" s="38" t="s">
        <v>88</v>
      </c>
      <c r="G141" s="135">
        <v>0.79500000000000004</v>
      </c>
      <c r="H141" s="28" t="s">
        <v>14</v>
      </c>
      <c r="I141" s="41">
        <v>430000</v>
      </c>
      <c r="J141" s="35" t="s">
        <v>15</v>
      </c>
      <c r="K141" s="52"/>
      <c r="L141" s="3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</row>
    <row r="142" spans="2:68" s="17" customFormat="1" ht="19.5" customHeight="1" x14ac:dyDescent="0.3">
      <c r="B142" s="33" t="s">
        <v>40</v>
      </c>
      <c r="C142" s="38" t="s">
        <v>19</v>
      </c>
      <c r="D142" s="38">
        <v>25</v>
      </c>
      <c r="E142" s="38"/>
      <c r="F142" s="38" t="s">
        <v>89</v>
      </c>
      <c r="G142" s="135">
        <v>1.218</v>
      </c>
      <c r="H142" s="28" t="s">
        <v>14</v>
      </c>
      <c r="I142" s="41">
        <v>430000</v>
      </c>
      <c r="J142" s="35" t="s">
        <v>15</v>
      </c>
      <c r="K142" s="52"/>
      <c r="L142" s="37"/>
    </row>
    <row r="143" spans="2:68" s="17" customFormat="1" ht="19.5" customHeight="1" x14ac:dyDescent="0.3">
      <c r="B143" s="33" t="s">
        <v>40</v>
      </c>
      <c r="C143" s="38" t="s">
        <v>19</v>
      </c>
      <c r="D143" s="38">
        <v>25</v>
      </c>
      <c r="E143" s="38"/>
      <c r="F143" s="38" t="s">
        <v>88</v>
      </c>
      <c r="G143" s="135">
        <v>0.27600000000000002</v>
      </c>
      <c r="H143" s="28" t="s">
        <v>14</v>
      </c>
      <c r="I143" s="41">
        <v>430000</v>
      </c>
      <c r="J143" s="35" t="s">
        <v>15</v>
      </c>
      <c r="K143" s="52"/>
      <c r="L143" s="37"/>
    </row>
    <row r="144" spans="2:68" s="17" customFormat="1" ht="19.5" customHeight="1" x14ac:dyDescent="0.3">
      <c r="B144" s="33" t="s">
        <v>40</v>
      </c>
      <c r="C144" s="38" t="s">
        <v>19</v>
      </c>
      <c r="D144" s="38">
        <v>36</v>
      </c>
      <c r="E144" s="38"/>
      <c r="F144" s="38" t="s">
        <v>90</v>
      </c>
      <c r="G144" s="135">
        <v>2.8239999999999998</v>
      </c>
      <c r="H144" s="28" t="s">
        <v>14</v>
      </c>
      <c r="I144" s="41">
        <v>470000</v>
      </c>
      <c r="J144" s="35" t="s">
        <v>15</v>
      </c>
      <c r="K144" s="52"/>
      <c r="L144" s="37"/>
    </row>
    <row r="145" spans="2:68" s="17" customFormat="1" ht="18.75" customHeight="1" x14ac:dyDescent="0.3">
      <c r="B145" s="33" t="s">
        <v>40</v>
      </c>
      <c r="C145" s="38" t="s">
        <v>19</v>
      </c>
      <c r="D145" s="38">
        <v>40</v>
      </c>
      <c r="E145" s="38"/>
      <c r="F145" s="38" t="s">
        <v>90</v>
      </c>
      <c r="G145" s="135">
        <v>8.5999999999999993E-2</v>
      </c>
      <c r="H145" s="28" t="s">
        <v>14</v>
      </c>
      <c r="I145" s="41">
        <v>430000</v>
      </c>
      <c r="J145" s="35" t="s">
        <v>15</v>
      </c>
      <c r="K145" s="52"/>
      <c r="L145" s="37"/>
    </row>
    <row r="146" spans="2:68" s="17" customFormat="1" ht="19.5" customHeight="1" x14ac:dyDescent="0.3">
      <c r="B146" s="33" t="s">
        <v>40</v>
      </c>
      <c r="C146" s="38" t="s">
        <v>19</v>
      </c>
      <c r="D146" s="38">
        <v>40</v>
      </c>
      <c r="E146" s="38"/>
      <c r="F146" s="38" t="s">
        <v>90</v>
      </c>
      <c r="G146" s="135">
        <v>1.589</v>
      </c>
      <c r="H146" s="28" t="s">
        <v>14</v>
      </c>
      <c r="I146" s="41">
        <v>430000</v>
      </c>
      <c r="J146" s="35" t="s">
        <v>15</v>
      </c>
      <c r="K146" s="52"/>
      <c r="L146" s="37"/>
    </row>
    <row r="147" spans="2:68" s="17" customFormat="1" ht="19.5" customHeight="1" x14ac:dyDescent="0.3">
      <c r="B147" s="33" t="s">
        <v>40</v>
      </c>
      <c r="C147" s="38" t="s">
        <v>19</v>
      </c>
      <c r="D147" s="38">
        <v>42</v>
      </c>
      <c r="E147" s="38"/>
      <c r="F147" s="38" t="s">
        <v>89</v>
      </c>
      <c r="G147" s="135">
        <v>1.1479999999999999</v>
      </c>
      <c r="H147" s="28" t="s">
        <v>14</v>
      </c>
      <c r="I147" s="41">
        <v>430000</v>
      </c>
      <c r="J147" s="35" t="s">
        <v>15</v>
      </c>
      <c r="K147" s="42"/>
      <c r="L147" s="43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</row>
    <row r="148" spans="2:68" s="18" customFormat="1" ht="19.5" customHeight="1" x14ac:dyDescent="0.3">
      <c r="B148" s="33" t="s">
        <v>40</v>
      </c>
      <c r="C148" s="38" t="s">
        <v>19</v>
      </c>
      <c r="D148" s="38">
        <v>50</v>
      </c>
      <c r="E148" s="38"/>
      <c r="F148" s="38" t="s">
        <v>91</v>
      </c>
      <c r="G148" s="135">
        <v>0.35299999999999998</v>
      </c>
      <c r="H148" s="28" t="s">
        <v>14</v>
      </c>
      <c r="I148" s="41">
        <v>470000</v>
      </c>
      <c r="J148" s="35" t="s">
        <v>15</v>
      </c>
      <c r="K148" s="52"/>
      <c r="L148" s="3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</row>
    <row r="149" spans="2:68" s="17" customFormat="1" ht="19.5" customHeight="1" x14ac:dyDescent="0.3">
      <c r="B149" s="33" t="s">
        <v>40</v>
      </c>
      <c r="C149" s="38" t="s">
        <v>19</v>
      </c>
      <c r="D149" s="38">
        <v>53</v>
      </c>
      <c r="E149" s="38"/>
      <c r="F149" s="38"/>
      <c r="G149" s="135">
        <v>0.189</v>
      </c>
      <c r="H149" s="40" t="s">
        <v>20</v>
      </c>
      <c r="I149" s="41">
        <v>150000</v>
      </c>
      <c r="J149" s="35" t="s">
        <v>15</v>
      </c>
      <c r="K149" s="52"/>
      <c r="L149" s="37"/>
    </row>
    <row r="150" spans="2:68" s="17" customFormat="1" ht="19.5" customHeight="1" x14ac:dyDescent="0.3">
      <c r="B150" s="33" t="s">
        <v>40</v>
      </c>
      <c r="C150" s="38" t="s">
        <v>19</v>
      </c>
      <c r="D150" s="38">
        <v>55</v>
      </c>
      <c r="E150" s="38"/>
      <c r="F150" s="38"/>
      <c r="G150" s="135">
        <v>0.115</v>
      </c>
      <c r="H150" s="40" t="s">
        <v>20</v>
      </c>
      <c r="I150" s="41">
        <v>150000</v>
      </c>
      <c r="J150" s="35" t="s">
        <v>15</v>
      </c>
      <c r="K150" s="52"/>
      <c r="L150" s="37"/>
    </row>
    <row r="151" spans="2:68" s="17" customFormat="1" ht="19.5" customHeight="1" x14ac:dyDescent="0.3">
      <c r="B151" s="33" t="s">
        <v>40</v>
      </c>
      <c r="C151" s="38" t="s">
        <v>19</v>
      </c>
      <c r="D151" s="38">
        <v>56</v>
      </c>
      <c r="E151" s="38"/>
      <c r="F151" s="38" t="s">
        <v>89</v>
      </c>
      <c r="G151" s="135">
        <v>0.03</v>
      </c>
      <c r="H151" s="28" t="s">
        <v>14</v>
      </c>
      <c r="I151" s="41">
        <v>430000</v>
      </c>
      <c r="J151" s="35" t="s">
        <v>15</v>
      </c>
      <c r="K151" s="52"/>
      <c r="L151" s="37"/>
    </row>
    <row r="152" spans="2:68" s="17" customFormat="1" ht="19.5" customHeight="1" x14ac:dyDescent="0.3">
      <c r="B152" s="33" t="s">
        <v>40</v>
      </c>
      <c r="C152" s="38" t="s">
        <v>19</v>
      </c>
      <c r="D152" s="38">
        <v>60</v>
      </c>
      <c r="E152" s="38"/>
      <c r="F152" s="38" t="s">
        <v>90</v>
      </c>
      <c r="G152" s="135">
        <v>1.417</v>
      </c>
      <c r="H152" s="28" t="s">
        <v>14</v>
      </c>
      <c r="I152" s="41">
        <v>430000</v>
      </c>
      <c r="J152" s="35" t="s">
        <v>15</v>
      </c>
      <c r="K152" s="52"/>
      <c r="L152" s="37"/>
      <c r="P152" s="17" t="s">
        <v>92</v>
      </c>
    </row>
    <row r="153" spans="2:68" s="17" customFormat="1" ht="19.5" customHeight="1" x14ac:dyDescent="0.3">
      <c r="B153" s="33" t="s">
        <v>40</v>
      </c>
      <c r="C153" s="38" t="s">
        <v>19</v>
      </c>
      <c r="D153" s="38">
        <v>60</v>
      </c>
      <c r="E153" s="38"/>
      <c r="F153" s="38" t="s">
        <v>93</v>
      </c>
      <c r="G153" s="135">
        <v>1.2390000000000001</v>
      </c>
      <c r="H153" s="28" t="s">
        <v>14</v>
      </c>
      <c r="I153" s="41">
        <v>470000</v>
      </c>
      <c r="J153" s="35" t="s">
        <v>15</v>
      </c>
      <c r="K153" s="52"/>
      <c r="L153" s="37"/>
    </row>
    <row r="154" spans="2:68" s="17" customFormat="1" ht="19.5" customHeight="1" x14ac:dyDescent="0.3">
      <c r="B154" s="33" t="s">
        <v>40</v>
      </c>
      <c r="C154" s="38" t="s">
        <v>19</v>
      </c>
      <c r="D154" s="38">
        <v>70</v>
      </c>
      <c r="E154" s="38"/>
      <c r="F154" s="38" t="s">
        <v>94</v>
      </c>
      <c r="G154" s="135">
        <v>4.96</v>
      </c>
      <c r="H154" s="28" t="s">
        <v>14</v>
      </c>
      <c r="I154" s="41">
        <v>430000</v>
      </c>
      <c r="J154" s="35" t="s">
        <v>15</v>
      </c>
      <c r="K154" s="42"/>
      <c r="L154" s="37"/>
    </row>
    <row r="155" spans="2:68" s="17" customFormat="1" ht="19.5" customHeight="1" x14ac:dyDescent="0.3">
      <c r="B155" s="33" t="s">
        <v>40</v>
      </c>
      <c r="C155" s="38" t="s">
        <v>19</v>
      </c>
      <c r="D155" s="38">
        <v>80</v>
      </c>
      <c r="E155" s="38"/>
      <c r="F155" s="38" t="s">
        <v>94</v>
      </c>
      <c r="G155" s="135">
        <v>0.38100000000000001</v>
      </c>
      <c r="H155" s="28" t="s">
        <v>14</v>
      </c>
      <c r="I155" s="41">
        <v>430000</v>
      </c>
      <c r="J155" s="35" t="s">
        <v>15</v>
      </c>
      <c r="K155" s="42"/>
      <c r="L155" s="37"/>
    </row>
    <row r="156" spans="2:68" s="18" customFormat="1" ht="19.5" customHeight="1" x14ac:dyDescent="0.3">
      <c r="B156" s="33" t="s">
        <v>40</v>
      </c>
      <c r="C156" s="38" t="s">
        <v>19</v>
      </c>
      <c r="D156" s="38">
        <v>85</v>
      </c>
      <c r="E156" s="38"/>
      <c r="F156" s="38" t="s">
        <v>94</v>
      </c>
      <c r="G156" s="135">
        <v>0.68500000000000005</v>
      </c>
      <c r="H156" s="28" t="s">
        <v>14</v>
      </c>
      <c r="I156" s="41">
        <v>430000</v>
      </c>
      <c r="J156" s="35" t="s">
        <v>15</v>
      </c>
      <c r="K156" s="52"/>
      <c r="L156" s="37"/>
    </row>
    <row r="157" spans="2:68" s="18" customFormat="1" ht="19.5" customHeight="1" x14ac:dyDescent="0.3">
      <c r="B157" s="33" t="s">
        <v>40</v>
      </c>
      <c r="C157" s="38" t="s">
        <v>19</v>
      </c>
      <c r="D157" s="38">
        <v>85</v>
      </c>
      <c r="E157" s="38"/>
      <c r="F157" s="38" t="s">
        <v>95</v>
      </c>
      <c r="G157" s="135">
        <v>0.9</v>
      </c>
      <c r="H157" s="28" t="s">
        <v>14</v>
      </c>
      <c r="I157" s="41">
        <v>470000</v>
      </c>
      <c r="J157" s="35" t="s">
        <v>15</v>
      </c>
      <c r="K157" s="52"/>
      <c r="L157" s="37"/>
    </row>
    <row r="158" spans="2:68" s="18" customFormat="1" ht="19.5" customHeight="1" x14ac:dyDescent="0.3">
      <c r="B158" s="33" t="s">
        <v>40</v>
      </c>
      <c r="C158" s="38" t="s">
        <v>19</v>
      </c>
      <c r="D158" s="38">
        <v>100</v>
      </c>
      <c r="E158" s="38"/>
      <c r="F158" s="38" t="s">
        <v>96</v>
      </c>
      <c r="G158" s="135">
        <v>0.54700000000000004</v>
      </c>
      <c r="H158" s="28" t="s">
        <v>14</v>
      </c>
      <c r="I158" s="41">
        <v>470000</v>
      </c>
      <c r="J158" s="35" t="s">
        <v>15</v>
      </c>
      <c r="K158" s="69"/>
      <c r="L158" s="43"/>
    </row>
    <row r="159" spans="2:68" s="18" customFormat="1" ht="19.5" customHeight="1" x14ac:dyDescent="0.3">
      <c r="B159" s="33" t="s">
        <v>40</v>
      </c>
      <c r="C159" s="38" t="s">
        <v>19</v>
      </c>
      <c r="D159" s="38">
        <v>100</v>
      </c>
      <c r="E159" s="38"/>
      <c r="F159" s="38" t="s">
        <v>94</v>
      </c>
      <c r="G159" s="135">
        <v>0.94599999999999995</v>
      </c>
      <c r="H159" s="28" t="s">
        <v>14</v>
      </c>
      <c r="I159" s="41">
        <v>430000</v>
      </c>
      <c r="J159" s="35" t="s">
        <v>15</v>
      </c>
      <c r="K159" s="70"/>
      <c r="L159" s="43"/>
    </row>
    <row r="160" spans="2:68" s="21" customFormat="1" ht="19.5" customHeight="1" x14ac:dyDescent="0.3">
      <c r="B160" s="46" t="s">
        <v>40</v>
      </c>
      <c r="C160" s="47" t="s">
        <v>19</v>
      </c>
      <c r="D160" s="47">
        <v>100</v>
      </c>
      <c r="E160" s="47"/>
      <c r="F160" s="47"/>
      <c r="G160" s="136">
        <v>0.25600000000000001</v>
      </c>
      <c r="H160" s="28" t="s">
        <v>14</v>
      </c>
      <c r="I160" s="41">
        <v>430000</v>
      </c>
      <c r="J160" s="68" t="s">
        <v>15</v>
      </c>
      <c r="K160" s="71"/>
      <c r="L160" s="43"/>
      <c r="M160" s="18"/>
      <c r="N160" s="18"/>
      <c r="O160" s="18"/>
      <c r="P160" s="18"/>
      <c r="Q160" s="18"/>
      <c r="R160" s="18"/>
      <c r="S160" s="18"/>
      <c r="T160" s="18"/>
      <c r="U160" s="18"/>
    </row>
    <row r="161" spans="2:68" s="18" customFormat="1" ht="19.5" customHeight="1" x14ac:dyDescent="0.3">
      <c r="B161" s="33" t="s">
        <v>40</v>
      </c>
      <c r="C161" s="38" t="s">
        <v>19</v>
      </c>
      <c r="D161" s="38">
        <v>110</v>
      </c>
      <c r="E161" s="38"/>
      <c r="F161" s="38" t="s">
        <v>97</v>
      </c>
      <c r="G161" s="135">
        <v>0.59899999999999998</v>
      </c>
      <c r="H161" s="28" t="s">
        <v>14</v>
      </c>
      <c r="I161" s="41">
        <v>430000</v>
      </c>
      <c r="J161" s="35" t="s">
        <v>15</v>
      </c>
      <c r="K161" s="70"/>
      <c r="L161" s="43"/>
    </row>
    <row r="162" spans="2:68" s="21" customFormat="1" ht="19.5" customHeight="1" x14ac:dyDescent="0.3">
      <c r="B162" s="46" t="s">
        <v>40</v>
      </c>
      <c r="C162" s="47" t="s">
        <v>19</v>
      </c>
      <c r="D162" s="47">
        <v>120</v>
      </c>
      <c r="E162" s="47"/>
      <c r="F162" s="47"/>
      <c r="G162" s="136">
        <v>3</v>
      </c>
      <c r="H162" s="28" t="s">
        <v>14</v>
      </c>
      <c r="I162" s="58">
        <v>470000</v>
      </c>
      <c r="J162" s="68" t="s">
        <v>74</v>
      </c>
      <c r="K162" s="71"/>
      <c r="L162" s="43"/>
      <c r="M162" s="18"/>
      <c r="N162" s="18"/>
      <c r="O162" s="18"/>
      <c r="P162" s="18"/>
      <c r="Q162" s="18"/>
      <c r="R162" s="18"/>
      <c r="S162" s="18"/>
      <c r="T162" s="18"/>
      <c r="U162" s="18"/>
    </row>
    <row r="163" spans="2:68" s="21" customFormat="1" ht="19.5" customHeight="1" x14ac:dyDescent="0.3">
      <c r="B163" s="46" t="s">
        <v>40</v>
      </c>
      <c r="C163" s="47" t="s">
        <v>19</v>
      </c>
      <c r="D163" s="47">
        <v>130</v>
      </c>
      <c r="E163" s="47"/>
      <c r="F163" s="47" t="s">
        <v>98</v>
      </c>
      <c r="G163" s="136">
        <v>2.4300000000000002</v>
      </c>
      <c r="H163" s="28" t="s">
        <v>14</v>
      </c>
      <c r="I163" s="58">
        <v>470000</v>
      </c>
      <c r="J163" s="68" t="s">
        <v>15</v>
      </c>
      <c r="K163" s="71"/>
      <c r="L163" s="43"/>
      <c r="M163" s="18"/>
      <c r="N163" s="18"/>
      <c r="O163" s="18"/>
      <c r="P163" s="18"/>
      <c r="Q163" s="18"/>
      <c r="R163" s="18"/>
      <c r="S163" s="18"/>
      <c r="T163" s="18"/>
      <c r="U163" s="18"/>
    </row>
    <row r="164" spans="2:68" s="21" customFormat="1" ht="19.5" customHeight="1" x14ac:dyDescent="0.3">
      <c r="B164" s="46" t="s">
        <v>40</v>
      </c>
      <c r="C164" s="47" t="s">
        <v>19</v>
      </c>
      <c r="D164" s="47">
        <v>145</v>
      </c>
      <c r="E164" s="47"/>
      <c r="F164" s="47" t="s">
        <v>99</v>
      </c>
      <c r="G164" s="136">
        <v>1.78</v>
      </c>
      <c r="H164" s="28" t="s">
        <v>14</v>
      </c>
      <c r="I164" s="58">
        <v>470000</v>
      </c>
      <c r="J164" s="68" t="s">
        <v>15</v>
      </c>
      <c r="K164" s="71"/>
      <c r="L164" s="43"/>
      <c r="M164" s="18"/>
      <c r="N164" s="18"/>
      <c r="O164" s="18"/>
      <c r="P164" s="18"/>
      <c r="Q164" s="18"/>
      <c r="R164" s="18"/>
      <c r="S164" s="18"/>
      <c r="T164" s="18"/>
      <c r="U164" s="18"/>
    </row>
    <row r="165" spans="2:68" s="21" customFormat="1" ht="19.5" customHeight="1" x14ac:dyDescent="0.3">
      <c r="B165" s="46" t="s">
        <v>40</v>
      </c>
      <c r="C165" s="47" t="s">
        <v>19</v>
      </c>
      <c r="D165" s="47">
        <v>150</v>
      </c>
      <c r="E165" s="47"/>
      <c r="F165" s="47"/>
      <c r="G165" s="136">
        <v>3</v>
      </c>
      <c r="H165" s="28" t="s">
        <v>14</v>
      </c>
      <c r="I165" s="58">
        <v>470000</v>
      </c>
      <c r="J165" s="72" t="s">
        <v>74</v>
      </c>
      <c r="K165" s="71"/>
      <c r="L165" s="43"/>
      <c r="M165" s="18"/>
      <c r="N165" s="18"/>
      <c r="O165" s="18"/>
      <c r="P165" s="18"/>
      <c r="Q165" s="18"/>
      <c r="R165" s="18"/>
      <c r="S165" s="18"/>
      <c r="T165" s="18"/>
      <c r="U165" s="18"/>
    </row>
    <row r="166" spans="2:68" s="19" customFormat="1" ht="19.5" customHeight="1" x14ac:dyDescent="0.3">
      <c r="B166" s="46" t="s">
        <v>40</v>
      </c>
      <c r="C166" s="47" t="s">
        <v>19</v>
      </c>
      <c r="D166" s="47">
        <v>170</v>
      </c>
      <c r="E166" s="47"/>
      <c r="F166" s="47"/>
      <c r="G166" s="136">
        <v>0.77100000000000002</v>
      </c>
      <c r="H166" s="28" t="s">
        <v>14</v>
      </c>
      <c r="I166" s="41">
        <v>430000</v>
      </c>
      <c r="J166" s="68" t="s">
        <v>15</v>
      </c>
      <c r="K166" s="52"/>
      <c r="L166" s="43"/>
      <c r="M166" s="18"/>
      <c r="N166" s="18"/>
      <c r="O166" s="18"/>
      <c r="P166" s="18"/>
      <c r="Q166" s="18"/>
      <c r="R166" s="18"/>
      <c r="S166" s="18"/>
      <c r="T166" s="18"/>
      <c r="U166" s="18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</row>
    <row r="167" spans="2:68" s="19" customFormat="1" ht="19.5" customHeight="1" x14ac:dyDescent="0.3">
      <c r="B167" s="46" t="s">
        <v>40</v>
      </c>
      <c r="C167" s="47" t="s">
        <v>19</v>
      </c>
      <c r="D167" s="47">
        <v>180</v>
      </c>
      <c r="E167" s="47"/>
      <c r="F167" s="47" t="s">
        <v>100</v>
      </c>
      <c r="G167" s="136">
        <v>0.96099999999999997</v>
      </c>
      <c r="H167" s="28" t="s">
        <v>14</v>
      </c>
      <c r="I167" s="41">
        <v>430000</v>
      </c>
      <c r="J167" s="68" t="s">
        <v>15</v>
      </c>
      <c r="K167" s="52"/>
      <c r="L167" s="43"/>
      <c r="M167" s="18"/>
      <c r="N167" s="18"/>
      <c r="O167" s="18"/>
      <c r="P167" s="18"/>
      <c r="Q167" s="18"/>
      <c r="R167" s="18"/>
      <c r="S167" s="18"/>
      <c r="T167" s="18"/>
      <c r="U167" s="18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</row>
    <row r="168" spans="2:68" s="19" customFormat="1" ht="19.5" customHeight="1" x14ac:dyDescent="0.3">
      <c r="B168" s="46" t="s">
        <v>40</v>
      </c>
      <c r="C168" s="47" t="s">
        <v>19</v>
      </c>
      <c r="D168" s="47">
        <v>180</v>
      </c>
      <c r="E168" s="47"/>
      <c r="F168" s="47"/>
      <c r="G168" s="136">
        <v>6.0350000000000001</v>
      </c>
      <c r="H168" s="28" t="s">
        <v>14</v>
      </c>
      <c r="I168" s="41">
        <v>430000</v>
      </c>
      <c r="J168" s="68" t="s">
        <v>15</v>
      </c>
      <c r="K168" s="52"/>
      <c r="L168" s="43"/>
      <c r="M168" s="18"/>
      <c r="N168" s="18"/>
      <c r="O168" s="18"/>
      <c r="P168" s="18"/>
      <c r="Q168" s="18"/>
      <c r="R168" s="18"/>
      <c r="S168" s="18"/>
      <c r="T168" s="18"/>
      <c r="U168" s="18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</row>
    <row r="169" spans="2:68" s="17" customFormat="1" ht="19.5" customHeight="1" x14ac:dyDescent="0.3">
      <c r="B169" s="33" t="s">
        <v>40</v>
      </c>
      <c r="C169" s="38" t="s">
        <v>19</v>
      </c>
      <c r="D169" s="38">
        <v>200</v>
      </c>
      <c r="E169" s="38"/>
      <c r="F169" s="38" t="s">
        <v>101</v>
      </c>
      <c r="G169" s="135">
        <v>0.83599999999999997</v>
      </c>
      <c r="H169" s="28" t="s">
        <v>14</v>
      </c>
      <c r="I169" s="41">
        <v>430000</v>
      </c>
      <c r="J169" s="35" t="s">
        <v>15</v>
      </c>
      <c r="K169" s="52"/>
      <c r="L169" s="43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</row>
    <row r="170" spans="2:68" s="19" customFormat="1" ht="19.5" customHeight="1" x14ac:dyDescent="0.3">
      <c r="B170" s="46" t="s">
        <v>40</v>
      </c>
      <c r="C170" s="47" t="s">
        <v>19</v>
      </c>
      <c r="D170" s="47">
        <v>205</v>
      </c>
      <c r="E170" s="47"/>
      <c r="F170" s="47"/>
      <c r="G170" s="136">
        <v>0.40899999999999997</v>
      </c>
      <c r="H170" s="28" t="s">
        <v>14</v>
      </c>
      <c r="I170" s="41">
        <v>430000</v>
      </c>
      <c r="J170" s="68" t="s">
        <v>15</v>
      </c>
      <c r="K170" s="52"/>
      <c r="L170" s="43"/>
      <c r="M170" s="18"/>
      <c r="N170" s="18"/>
      <c r="O170" s="18"/>
      <c r="P170" s="18"/>
      <c r="Q170" s="18"/>
      <c r="R170" s="18"/>
      <c r="S170" s="18"/>
      <c r="T170" s="18"/>
      <c r="U170" s="18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</row>
    <row r="171" spans="2:68" s="18" customFormat="1" ht="19.5" customHeight="1" x14ac:dyDescent="0.3">
      <c r="B171" s="46" t="s">
        <v>40</v>
      </c>
      <c r="C171" s="47" t="s">
        <v>19</v>
      </c>
      <c r="D171" s="47">
        <v>270</v>
      </c>
      <c r="E171" s="47">
        <v>2.37</v>
      </c>
      <c r="F171" s="47" t="s">
        <v>102</v>
      </c>
      <c r="G171" s="136">
        <v>1.08</v>
      </c>
      <c r="H171" s="28" t="s">
        <v>14</v>
      </c>
      <c r="I171" s="58">
        <v>510000</v>
      </c>
      <c r="J171" s="68" t="s">
        <v>15</v>
      </c>
      <c r="K171" s="52"/>
      <c r="L171" s="43"/>
    </row>
    <row r="172" spans="2:68" s="18" customFormat="1" ht="19.5" customHeight="1" x14ac:dyDescent="0.3">
      <c r="B172" s="33" t="s">
        <v>40</v>
      </c>
      <c r="C172" s="38" t="s">
        <v>19</v>
      </c>
      <c r="D172" s="38">
        <v>280</v>
      </c>
      <c r="E172" s="38"/>
      <c r="F172" s="38" t="s">
        <v>103</v>
      </c>
      <c r="G172" s="135">
        <v>0.52800000000000002</v>
      </c>
      <c r="H172" s="28" t="s">
        <v>14</v>
      </c>
      <c r="I172" s="58">
        <v>510000</v>
      </c>
      <c r="J172" s="35" t="s">
        <v>15</v>
      </c>
      <c r="K172" s="52"/>
      <c r="L172" s="43"/>
    </row>
    <row r="173" spans="2:68" s="18" customFormat="1" ht="19.5" customHeight="1" x14ac:dyDescent="0.3">
      <c r="B173" s="33" t="s">
        <v>40</v>
      </c>
      <c r="C173" s="38" t="s">
        <v>19</v>
      </c>
      <c r="D173" s="38">
        <v>320</v>
      </c>
      <c r="E173" s="38"/>
      <c r="F173" s="38" t="s">
        <v>104</v>
      </c>
      <c r="G173" s="135">
        <v>2.0990000000000002</v>
      </c>
      <c r="H173" s="28" t="s">
        <v>14</v>
      </c>
      <c r="I173" s="58">
        <v>510000</v>
      </c>
      <c r="J173" s="35" t="s">
        <v>15</v>
      </c>
      <c r="K173" s="52"/>
      <c r="L173" s="43"/>
    </row>
    <row r="174" spans="2:68" s="18" customFormat="1" ht="19.5" customHeight="1" x14ac:dyDescent="0.3">
      <c r="B174" s="33" t="s">
        <v>40</v>
      </c>
      <c r="C174" s="38" t="s">
        <v>105</v>
      </c>
      <c r="D174" s="38">
        <v>80</v>
      </c>
      <c r="E174" s="38"/>
      <c r="F174" s="38" t="s">
        <v>106</v>
      </c>
      <c r="G174" s="135">
        <v>0.33800000000000002</v>
      </c>
      <c r="H174" s="40" t="s">
        <v>20</v>
      </c>
      <c r="I174" s="41">
        <v>190000</v>
      </c>
      <c r="J174" s="35" t="s">
        <v>15</v>
      </c>
      <c r="K174" s="52"/>
      <c r="L174" s="43"/>
    </row>
    <row r="175" spans="2:68" s="18" customFormat="1" ht="19.5" customHeight="1" x14ac:dyDescent="0.3">
      <c r="B175" s="33" t="s">
        <v>40</v>
      </c>
      <c r="C175" s="38" t="s">
        <v>107</v>
      </c>
      <c r="D175" s="38">
        <v>20</v>
      </c>
      <c r="E175" s="38"/>
      <c r="F175" s="38" t="s">
        <v>108</v>
      </c>
      <c r="G175" s="135">
        <v>0.13700000000000001</v>
      </c>
      <c r="H175" s="28" t="s">
        <v>14</v>
      </c>
      <c r="I175" s="44">
        <v>130000</v>
      </c>
      <c r="J175" s="35" t="s">
        <v>15</v>
      </c>
      <c r="K175" s="52"/>
      <c r="L175" s="43"/>
    </row>
    <row r="176" spans="2:68" s="18" customFormat="1" ht="19.5" customHeight="1" x14ac:dyDescent="0.3">
      <c r="B176" s="33" t="s">
        <v>40</v>
      </c>
      <c r="C176" s="38" t="s">
        <v>109</v>
      </c>
      <c r="D176" s="38">
        <v>8</v>
      </c>
      <c r="E176" s="38"/>
      <c r="F176" s="38" t="s">
        <v>110</v>
      </c>
      <c r="G176" s="135">
        <v>0.1</v>
      </c>
      <c r="H176" s="40" t="s">
        <v>20</v>
      </c>
      <c r="I176" s="44">
        <v>140000</v>
      </c>
      <c r="J176" s="35" t="s">
        <v>15</v>
      </c>
      <c r="K176" s="52"/>
      <c r="L176" s="43"/>
    </row>
    <row r="177" spans="2:21" s="18" customFormat="1" ht="19.5" customHeight="1" x14ac:dyDescent="0.3">
      <c r="B177" s="33" t="s">
        <v>40</v>
      </c>
      <c r="C177" s="38" t="s">
        <v>109</v>
      </c>
      <c r="D177" s="38">
        <v>120</v>
      </c>
      <c r="E177" s="38"/>
      <c r="F177" s="38" t="s">
        <v>106</v>
      </c>
      <c r="G177" s="135">
        <v>0.66</v>
      </c>
      <c r="H177" s="40" t="s">
        <v>20</v>
      </c>
      <c r="I177" s="44">
        <v>140000</v>
      </c>
      <c r="J177" s="35" t="s">
        <v>15</v>
      </c>
      <c r="K177" s="52"/>
      <c r="L177" s="43"/>
    </row>
    <row r="178" spans="2:21" s="18" customFormat="1" ht="19.5" customHeight="1" x14ac:dyDescent="0.3">
      <c r="B178" s="46" t="s">
        <v>18</v>
      </c>
      <c r="C178" s="47" t="s">
        <v>111</v>
      </c>
      <c r="D178" s="47">
        <v>100</v>
      </c>
      <c r="E178" s="47"/>
      <c r="F178" s="47" t="s">
        <v>112</v>
      </c>
      <c r="G178" s="136">
        <v>17.195</v>
      </c>
      <c r="H178" s="28" t="s">
        <v>14</v>
      </c>
      <c r="I178" s="50">
        <v>950000</v>
      </c>
      <c r="J178" s="68" t="s">
        <v>15</v>
      </c>
      <c r="K178" s="52"/>
      <c r="L178" s="43"/>
    </row>
    <row r="179" spans="2:21" s="18" customFormat="1" ht="19.5" customHeight="1" x14ac:dyDescent="0.3">
      <c r="B179" s="46" t="s">
        <v>40</v>
      </c>
      <c r="C179" s="47" t="s">
        <v>111</v>
      </c>
      <c r="D179" s="47">
        <v>10</v>
      </c>
      <c r="E179" s="47"/>
      <c r="F179" s="47" t="s">
        <v>113</v>
      </c>
      <c r="G179" s="136">
        <v>4.7E-2</v>
      </c>
      <c r="H179" s="28" t="s">
        <v>14</v>
      </c>
      <c r="I179" s="50">
        <v>1350000</v>
      </c>
      <c r="J179" s="68" t="s">
        <v>15</v>
      </c>
      <c r="K179" s="52"/>
      <c r="L179" s="43"/>
    </row>
    <row r="180" spans="2:21" s="18" customFormat="1" ht="19.5" customHeight="1" x14ac:dyDescent="0.3">
      <c r="B180" s="46" t="s">
        <v>40</v>
      </c>
      <c r="C180" s="47" t="s">
        <v>111</v>
      </c>
      <c r="D180" s="47">
        <v>18</v>
      </c>
      <c r="E180" s="47"/>
      <c r="F180" s="47" t="s">
        <v>113</v>
      </c>
      <c r="G180" s="136">
        <v>5.8000000000000003E-2</v>
      </c>
      <c r="H180" s="28" t="s">
        <v>14</v>
      </c>
      <c r="I180" s="50">
        <v>1350000</v>
      </c>
      <c r="J180" s="68" t="s">
        <v>15</v>
      </c>
      <c r="K180" s="52"/>
      <c r="L180" s="43"/>
    </row>
    <row r="181" spans="2:21" s="18" customFormat="1" ht="19.5" customHeight="1" x14ac:dyDescent="0.3">
      <c r="B181" s="46" t="s">
        <v>40</v>
      </c>
      <c r="C181" s="47" t="s">
        <v>111</v>
      </c>
      <c r="D181" s="47">
        <v>20</v>
      </c>
      <c r="E181" s="47"/>
      <c r="F181" s="47" t="s">
        <v>113</v>
      </c>
      <c r="G181" s="136">
        <v>2.5999999999999999E-2</v>
      </c>
      <c r="H181" s="28" t="s">
        <v>14</v>
      </c>
      <c r="I181" s="50">
        <v>1300000</v>
      </c>
      <c r="J181" s="68" t="s">
        <v>15</v>
      </c>
      <c r="K181" s="52"/>
      <c r="L181" s="43"/>
    </row>
    <row r="182" spans="2:21" s="18" customFormat="1" ht="19.5" customHeight="1" x14ac:dyDescent="0.3">
      <c r="B182" s="46" t="s">
        <v>40</v>
      </c>
      <c r="C182" s="47" t="s">
        <v>111</v>
      </c>
      <c r="D182" s="47">
        <v>24</v>
      </c>
      <c r="E182" s="47"/>
      <c r="F182" s="47" t="s">
        <v>114</v>
      </c>
      <c r="G182" s="136">
        <v>7.4999999999999997E-2</v>
      </c>
      <c r="H182" s="28" t="s">
        <v>14</v>
      </c>
      <c r="I182" s="50">
        <v>1300000</v>
      </c>
      <c r="J182" s="68" t="s">
        <v>15</v>
      </c>
      <c r="K182" s="52"/>
      <c r="L182" s="43"/>
    </row>
    <row r="183" spans="2:21" s="18" customFormat="1" ht="19.5" customHeight="1" x14ac:dyDescent="0.3">
      <c r="B183" s="46" t="s">
        <v>40</v>
      </c>
      <c r="C183" s="47" t="s">
        <v>111</v>
      </c>
      <c r="D183" s="47">
        <v>40</v>
      </c>
      <c r="E183" s="47"/>
      <c r="F183" s="73" t="s">
        <v>115</v>
      </c>
      <c r="G183" s="136">
        <v>3.3159999999999998</v>
      </c>
      <c r="H183" s="28" t="s">
        <v>14</v>
      </c>
      <c r="I183" s="50">
        <v>1350000</v>
      </c>
      <c r="J183" s="68" t="s">
        <v>15</v>
      </c>
      <c r="K183" s="52"/>
      <c r="L183" s="43"/>
    </row>
    <row r="184" spans="2:21" s="18" customFormat="1" ht="19.5" customHeight="1" x14ac:dyDescent="0.3">
      <c r="B184" s="46" t="s">
        <v>40</v>
      </c>
      <c r="C184" s="47" t="s">
        <v>111</v>
      </c>
      <c r="D184" s="47">
        <v>42</v>
      </c>
      <c r="E184" s="47"/>
      <c r="F184" s="73" t="s">
        <v>115</v>
      </c>
      <c r="G184" s="136">
        <v>2.8279999999999998</v>
      </c>
      <c r="H184" s="28" t="s">
        <v>14</v>
      </c>
      <c r="I184" s="50">
        <v>1350000</v>
      </c>
      <c r="J184" s="68" t="s">
        <v>15</v>
      </c>
      <c r="K184" s="52"/>
      <c r="L184" s="43"/>
    </row>
    <row r="185" spans="2:21" s="18" customFormat="1" ht="19.5" customHeight="1" x14ac:dyDescent="0.3">
      <c r="B185" s="46" t="s">
        <v>40</v>
      </c>
      <c r="C185" s="47" t="s">
        <v>111</v>
      </c>
      <c r="D185" s="47">
        <v>45</v>
      </c>
      <c r="E185" s="47"/>
      <c r="F185" s="73" t="s">
        <v>115</v>
      </c>
      <c r="G185" s="136">
        <v>2.9740000000000002</v>
      </c>
      <c r="H185" s="28" t="s">
        <v>14</v>
      </c>
      <c r="I185" s="50">
        <v>1350000</v>
      </c>
      <c r="J185" s="68" t="s">
        <v>15</v>
      </c>
      <c r="K185" s="52"/>
      <c r="L185" s="43"/>
    </row>
    <row r="186" spans="2:21" s="18" customFormat="1" ht="19.5" customHeight="1" x14ac:dyDescent="0.3">
      <c r="B186" s="46" t="s">
        <v>40</v>
      </c>
      <c r="C186" s="47" t="s">
        <v>111</v>
      </c>
      <c r="D186" s="47">
        <v>48</v>
      </c>
      <c r="E186" s="47"/>
      <c r="F186" s="73" t="s">
        <v>115</v>
      </c>
      <c r="G186" s="136">
        <v>2.9460000000000002</v>
      </c>
      <c r="H186" s="28" t="s">
        <v>14</v>
      </c>
      <c r="I186" s="50">
        <v>1300000</v>
      </c>
      <c r="J186" s="68" t="s">
        <v>15</v>
      </c>
      <c r="K186" s="52"/>
      <c r="L186" s="43"/>
    </row>
    <row r="187" spans="2:21" s="18" customFormat="1" ht="19.5" customHeight="1" x14ac:dyDescent="0.3">
      <c r="B187" s="46" t="s">
        <v>40</v>
      </c>
      <c r="C187" s="47" t="s">
        <v>111</v>
      </c>
      <c r="D187" s="47">
        <v>50</v>
      </c>
      <c r="E187" s="47"/>
      <c r="F187" s="73" t="s">
        <v>115</v>
      </c>
      <c r="G187" s="136">
        <v>2.93</v>
      </c>
      <c r="H187" s="28" t="s">
        <v>14</v>
      </c>
      <c r="I187" s="50">
        <v>1300000</v>
      </c>
      <c r="J187" s="68" t="s">
        <v>15</v>
      </c>
      <c r="K187" s="52"/>
      <c r="L187" s="43"/>
    </row>
    <row r="188" spans="2:21" s="18" customFormat="1" ht="19.5" customHeight="1" x14ac:dyDescent="0.3">
      <c r="B188" s="46" t="s">
        <v>40</v>
      </c>
      <c r="C188" s="47" t="s">
        <v>111</v>
      </c>
      <c r="D188" s="47">
        <v>52</v>
      </c>
      <c r="E188" s="47"/>
      <c r="F188" s="73" t="s">
        <v>115</v>
      </c>
      <c r="G188" s="136">
        <v>3.3620000000000001</v>
      </c>
      <c r="H188" s="28" t="s">
        <v>14</v>
      </c>
      <c r="I188" s="50">
        <v>1300000</v>
      </c>
      <c r="J188" s="68" t="s">
        <v>15</v>
      </c>
      <c r="K188" s="52"/>
      <c r="L188" s="43"/>
    </row>
    <row r="189" spans="2:21" s="18" customFormat="1" ht="19.5" customHeight="1" x14ac:dyDescent="0.3">
      <c r="B189" s="46" t="s">
        <v>40</v>
      </c>
      <c r="C189" s="47" t="s">
        <v>111</v>
      </c>
      <c r="D189" s="47">
        <v>56</v>
      </c>
      <c r="E189" s="47"/>
      <c r="F189" s="73" t="s">
        <v>115</v>
      </c>
      <c r="G189" s="136">
        <v>2.8359999999999999</v>
      </c>
      <c r="H189" s="28" t="s">
        <v>14</v>
      </c>
      <c r="I189" s="50">
        <v>1300000</v>
      </c>
      <c r="J189" s="68" t="s">
        <v>15</v>
      </c>
      <c r="K189" s="52"/>
      <c r="L189" s="43"/>
    </row>
    <row r="190" spans="2:21" s="21" customFormat="1" ht="19.5" customHeight="1" x14ac:dyDescent="0.3">
      <c r="B190" s="46" t="s">
        <v>40</v>
      </c>
      <c r="C190" s="47" t="s">
        <v>111</v>
      </c>
      <c r="D190" s="47">
        <v>60</v>
      </c>
      <c r="E190" s="47"/>
      <c r="F190" s="73" t="s">
        <v>115</v>
      </c>
      <c r="G190" s="136">
        <v>2.5110000000000001</v>
      </c>
      <c r="H190" s="28" t="s">
        <v>14</v>
      </c>
      <c r="I190" s="50">
        <v>1100000</v>
      </c>
      <c r="J190" s="68" t="s">
        <v>15</v>
      </c>
      <c r="K190" s="52"/>
      <c r="L190" s="60"/>
      <c r="M190" s="18"/>
      <c r="N190" s="18"/>
      <c r="O190" s="18"/>
      <c r="P190" s="18"/>
      <c r="Q190" s="18"/>
      <c r="R190" s="18"/>
      <c r="S190" s="18"/>
      <c r="T190" s="18"/>
      <c r="U190" s="18"/>
    </row>
    <row r="191" spans="2:21" s="21" customFormat="1" ht="19.5" customHeight="1" x14ac:dyDescent="0.3">
      <c r="B191" s="46" t="s">
        <v>40</v>
      </c>
      <c r="C191" s="47" t="s">
        <v>111</v>
      </c>
      <c r="D191" s="47">
        <v>80</v>
      </c>
      <c r="E191" s="47"/>
      <c r="F191" s="73" t="s">
        <v>115</v>
      </c>
      <c r="G191" s="136">
        <v>3.79</v>
      </c>
      <c r="H191" s="28" t="s">
        <v>14</v>
      </c>
      <c r="I191" s="50">
        <v>1100000</v>
      </c>
      <c r="J191" s="68" t="s">
        <v>15</v>
      </c>
      <c r="K191" s="52"/>
      <c r="L191" s="60"/>
      <c r="M191" s="18"/>
      <c r="N191" s="18"/>
      <c r="O191" s="18"/>
      <c r="P191" s="18"/>
      <c r="Q191" s="18"/>
      <c r="R191" s="18"/>
      <c r="S191" s="18"/>
      <c r="T191" s="18"/>
      <c r="U191" s="18"/>
    </row>
    <row r="192" spans="2:21" s="21" customFormat="1" ht="19.5" customHeight="1" x14ac:dyDescent="0.3">
      <c r="B192" s="46" t="s">
        <v>40</v>
      </c>
      <c r="C192" s="47" t="s">
        <v>111</v>
      </c>
      <c r="D192" s="47">
        <v>100</v>
      </c>
      <c r="E192" s="47"/>
      <c r="F192" s="73" t="s">
        <v>115</v>
      </c>
      <c r="G192" s="136">
        <v>4.3689999999999998</v>
      </c>
      <c r="H192" s="28" t="s">
        <v>14</v>
      </c>
      <c r="I192" s="50">
        <v>1100000</v>
      </c>
      <c r="J192" s="68" t="s">
        <v>15</v>
      </c>
      <c r="K192" s="52"/>
      <c r="L192" s="60"/>
      <c r="M192" s="18"/>
      <c r="N192" s="18"/>
      <c r="O192" s="18"/>
      <c r="P192" s="18"/>
      <c r="Q192" s="18"/>
      <c r="R192" s="18"/>
      <c r="S192" s="18"/>
      <c r="T192" s="18"/>
      <c r="U192" s="18"/>
    </row>
    <row r="193" spans="2:68" s="21" customFormat="1" ht="19.5" customHeight="1" x14ac:dyDescent="0.3">
      <c r="B193" s="46" t="s">
        <v>40</v>
      </c>
      <c r="C193" s="47" t="s">
        <v>111</v>
      </c>
      <c r="D193" s="47">
        <v>110</v>
      </c>
      <c r="E193" s="47"/>
      <c r="F193" s="73" t="s">
        <v>115</v>
      </c>
      <c r="G193" s="136">
        <v>3.8130000000000002</v>
      </c>
      <c r="H193" s="28" t="s">
        <v>14</v>
      </c>
      <c r="I193" s="50">
        <v>1100000</v>
      </c>
      <c r="J193" s="68" t="s">
        <v>15</v>
      </c>
      <c r="K193" s="52"/>
      <c r="L193" s="60"/>
      <c r="M193" s="18"/>
      <c r="N193" s="18"/>
      <c r="O193" s="18"/>
      <c r="P193" s="18"/>
      <c r="Q193" s="18"/>
      <c r="R193" s="18"/>
      <c r="S193" s="18"/>
      <c r="T193" s="18"/>
      <c r="U193" s="18"/>
    </row>
    <row r="194" spans="2:68" s="21" customFormat="1" ht="19.5" customHeight="1" x14ac:dyDescent="0.3">
      <c r="B194" s="46" t="s">
        <v>40</v>
      </c>
      <c r="C194" s="47" t="s">
        <v>111</v>
      </c>
      <c r="D194" s="47">
        <v>120</v>
      </c>
      <c r="E194" s="47"/>
      <c r="F194" s="73" t="s">
        <v>115</v>
      </c>
      <c r="G194" s="136">
        <v>4.1210000000000004</v>
      </c>
      <c r="H194" s="28" t="s">
        <v>14</v>
      </c>
      <c r="I194" s="50">
        <v>1100000</v>
      </c>
      <c r="J194" s="68" t="s">
        <v>15</v>
      </c>
      <c r="K194" s="52"/>
      <c r="L194" s="60"/>
      <c r="M194" s="18"/>
      <c r="N194" s="18"/>
      <c r="O194" s="18"/>
      <c r="P194" s="18"/>
      <c r="Q194" s="18"/>
      <c r="R194" s="18"/>
      <c r="S194" s="18"/>
      <c r="T194" s="18"/>
      <c r="U194" s="18"/>
    </row>
    <row r="195" spans="2:68" s="21" customFormat="1" ht="19.5" customHeight="1" x14ac:dyDescent="0.3">
      <c r="B195" s="46" t="s">
        <v>40</v>
      </c>
      <c r="C195" s="47" t="s">
        <v>111</v>
      </c>
      <c r="D195" s="47">
        <v>130</v>
      </c>
      <c r="E195" s="47"/>
      <c r="F195" s="73" t="s">
        <v>115</v>
      </c>
      <c r="G195" s="136">
        <v>4.282</v>
      </c>
      <c r="H195" s="28" t="s">
        <v>14</v>
      </c>
      <c r="I195" s="50">
        <v>1100000</v>
      </c>
      <c r="J195" s="68" t="s">
        <v>15</v>
      </c>
      <c r="K195" s="52"/>
      <c r="L195" s="60"/>
      <c r="M195" s="18"/>
      <c r="N195" s="18"/>
      <c r="O195" s="18"/>
      <c r="P195" s="18"/>
      <c r="Q195" s="18"/>
      <c r="R195" s="18"/>
      <c r="S195" s="18"/>
      <c r="T195" s="18"/>
      <c r="U195" s="18"/>
    </row>
    <row r="196" spans="2:68" s="21" customFormat="1" ht="19.5" customHeight="1" x14ac:dyDescent="0.3">
      <c r="B196" s="46" t="s">
        <v>40</v>
      </c>
      <c r="C196" s="47" t="s">
        <v>111</v>
      </c>
      <c r="D196" s="47">
        <v>150</v>
      </c>
      <c r="E196" s="47"/>
      <c r="F196" s="73" t="s">
        <v>115</v>
      </c>
      <c r="G196" s="136">
        <v>3.6440000000000001</v>
      </c>
      <c r="H196" s="28" t="s">
        <v>14</v>
      </c>
      <c r="I196" s="50">
        <v>1100000</v>
      </c>
      <c r="J196" s="68" t="s">
        <v>15</v>
      </c>
      <c r="K196" s="52"/>
      <c r="L196" s="60"/>
      <c r="M196" s="18"/>
      <c r="N196" s="18"/>
      <c r="O196" s="18"/>
      <c r="P196" s="18"/>
      <c r="Q196" s="18"/>
      <c r="R196" s="18"/>
      <c r="S196" s="18"/>
      <c r="T196" s="18"/>
      <c r="U196" s="18"/>
    </row>
    <row r="197" spans="2:68" s="21" customFormat="1" ht="19.5" customHeight="1" x14ac:dyDescent="0.3">
      <c r="B197" s="46" t="s">
        <v>40</v>
      </c>
      <c r="C197" s="47" t="s">
        <v>111</v>
      </c>
      <c r="D197" s="47">
        <v>160</v>
      </c>
      <c r="E197" s="47"/>
      <c r="F197" s="73" t="s">
        <v>115</v>
      </c>
      <c r="G197" s="136">
        <v>2.67</v>
      </c>
      <c r="H197" s="28" t="s">
        <v>14</v>
      </c>
      <c r="I197" s="50">
        <v>1100000</v>
      </c>
      <c r="J197" s="68" t="s">
        <v>15</v>
      </c>
      <c r="K197" s="52"/>
      <c r="L197" s="60"/>
      <c r="M197" s="18"/>
      <c r="N197" s="18"/>
      <c r="O197" s="18"/>
      <c r="P197" s="18"/>
      <c r="Q197" s="18"/>
      <c r="R197" s="18"/>
      <c r="S197" s="18"/>
      <c r="T197" s="18"/>
      <c r="U197" s="18"/>
    </row>
    <row r="198" spans="2:68" s="21" customFormat="1" ht="19.5" customHeight="1" x14ac:dyDescent="0.3">
      <c r="B198" s="46" t="s">
        <v>40</v>
      </c>
      <c r="C198" s="47" t="s">
        <v>111</v>
      </c>
      <c r="D198" s="47">
        <v>180</v>
      </c>
      <c r="E198" s="47"/>
      <c r="F198" s="73" t="s">
        <v>115</v>
      </c>
      <c r="G198" s="136">
        <v>3.89</v>
      </c>
      <c r="H198" s="28" t="s">
        <v>14</v>
      </c>
      <c r="I198" s="50">
        <v>1100000</v>
      </c>
      <c r="J198" s="68" t="s">
        <v>15</v>
      </c>
      <c r="K198" s="52"/>
      <c r="L198" s="60"/>
      <c r="M198" s="18"/>
      <c r="N198" s="18"/>
      <c r="O198" s="18"/>
      <c r="P198" s="18"/>
      <c r="Q198" s="18"/>
      <c r="R198" s="18"/>
      <c r="S198" s="18"/>
      <c r="T198" s="18"/>
      <c r="U198" s="18"/>
    </row>
    <row r="199" spans="2:68" s="21" customFormat="1" ht="19.5" customHeight="1" x14ac:dyDescent="0.3">
      <c r="B199" s="46" t="s">
        <v>40</v>
      </c>
      <c r="C199" s="47" t="s">
        <v>111</v>
      </c>
      <c r="D199" s="47">
        <v>200</v>
      </c>
      <c r="E199" s="47"/>
      <c r="F199" s="73" t="s">
        <v>115</v>
      </c>
      <c r="G199" s="136">
        <v>2.5619999999999998</v>
      </c>
      <c r="H199" s="28" t="s">
        <v>14</v>
      </c>
      <c r="I199" s="50">
        <v>1100000</v>
      </c>
      <c r="J199" s="68" t="s">
        <v>15</v>
      </c>
      <c r="K199" s="52"/>
      <c r="L199" s="60"/>
      <c r="M199" s="18"/>
      <c r="N199" s="18"/>
      <c r="O199" s="18"/>
      <c r="P199" s="18"/>
      <c r="Q199" s="18"/>
      <c r="R199" s="18"/>
      <c r="S199" s="18"/>
      <c r="T199" s="18"/>
      <c r="U199" s="18"/>
    </row>
    <row r="200" spans="2:68" s="18" customFormat="1" ht="19.5" customHeight="1" x14ac:dyDescent="0.3">
      <c r="B200" s="33" t="s">
        <v>40</v>
      </c>
      <c r="C200" s="38" t="s">
        <v>21</v>
      </c>
      <c r="D200" s="38">
        <v>50</v>
      </c>
      <c r="E200" s="38"/>
      <c r="F200" s="38" t="s">
        <v>116</v>
      </c>
      <c r="G200" s="135">
        <v>7.5999999999999998E-2</v>
      </c>
      <c r="H200" s="40" t="s">
        <v>20</v>
      </c>
      <c r="I200" s="44">
        <v>200000</v>
      </c>
      <c r="J200" s="35" t="s">
        <v>15</v>
      </c>
      <c r="K200" s="52"/>
      <c r="L200" s="43"/>
    </row>
    <row r="201" spans="2:68" s="18" customFormat="1" ht="19.5" customHeight="1" x14ac:dyDescent="0.3">
      <c r="B201" s="33" t="s">
        <v>40</v>
      </c>
      <c r="C201" s="38" t="s">
        <v>117</v>
      </c>
      <c r="D201" s="38">
        <v>26</v>
      </c>
      <c r="E201" s="38"/>
      <c r="F201" s="38"/>
      <c r="G201" s="135">
        <v>0.48</v>
      </c>
      <c r="H201" s="40" t="s">
        <v>20</v>
      </c>
      <c r="I201" s="44">
        <v>76000</v>
      </c>
      <c r="J201" s="35" t="s">
        <v>15</v>
      </c>
      <c r="K201" s="42"/>
      <c r="L201" s="43"/>
    </row>
    <row r="202" spans="2:68" s="18" customFormat="1" ht="19.5" customHeight="1" x14ac:dyDescent="0.3">
      <c r="B202" s="33" t="s">
        <v>40</v>
      </c>
      <c r="C202" s="38" t="s">
        <v>118</v>
      </c>
      <c r="D202" s="38">
        <v>40</v>
      </c>
      <c r="E202" s="38"/>
      <c r="F202" s="38"/>
      <c r="G202" s="135">
        <v>0.59099999999999997</v>
      </c>
      <c r="H202" s="28" t="s">
        <v>14</v>
      </c>
      <c r="I202" s="44">
        <v>80000</v>
      </c>
      <c r="J202" s="35" t="s">
        <v>15</v>
      </c>
      <c r="K202" s="42"/>
      <c r="L202" s="43"/>
    </row>
    <row r="203" spans="2:68" s="22" customFormat="1" ht="19.5" customHeight="1" x14ac:dyDescent="0.3">
      <c r="B203" s="33" t="s">
        <v>40</v>
      </c>
      <c r="C203" s="38" t="s">
        <v>119</v>
      </c>
      <c r="D203" s="38">
        <v>180</v>
      </c>
      <c r="E203" s="38"/>
      <c r="F203" s="38" t="s">
        <v>120</v>
      </c>
      <c r="G203" s="135">
        <v>0.74</v>
      </c>
      <c r="H203" s="28" t="s">
        <v>14</v>
      </c>
      <c r="I203" s="44">
        <v>165000</v>
      </c>
      <c r="J203" s="35" t="s">
        <v>15</v>
      </c>
      <c r="K203" s="42"/>
      <c r="L203" s="43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</row>
    <row r="204" spans="2:68" s="17" customFormat="1" ht="19.5" customHeight="1" x14ac:dyDescent="0.3">
      <c r="B204" s="33" t="s">
        <v>40</v>
      </c>
      <c r="C204" s="38" t="s">
        <v>121</v>
      </c>
      <c r="D204" s="38">
        <v>20</v>
      </c>
      <c r="E204" s="38"/>
      <c r="F204" s="38"/>
      <c r="G204" s="135">
        <v>8.7999999999999995E-2</v>
      </c>
      <c r="H204" s="40" t="s">
        <v>20</v>
      </c>
      <c r="I204" s="44">
        <v>165000</v>
      </c>
      <c r="J204" s="35" t="s">
        <v>15</v>
      </c>
      <c r="K204" s="42"/>
      <c r="L204" s="43"/>
    </row>
    <row r="205" spans="2:68" s="17" customFormat="1" ht="19.5" customHeight="1" x14ac:dyDescent="0.3">
      <c r="B205" s="33" t="s">
        <v>40</v>
      </c>
      <c r="C205" s="38" t="s">
        <v>122</v>
      </c>
      <c r="D205" s="38">
        <v>60</v>
      </c>
      <c r="E205" s="38"/>
      <c r="F205" s="38" t="s">
        <v>123</v>
      </c>
      <c r="G205" s="135">
        <v>9.3610000000000007</v>
      </c>
      <c r="H205" s="28" t="s">
        <v>14</v>
      </c>
      <c r="I205" s="44">
        <v>240000</v>
      </c>
      <c r="J205" s="35" t="s">
        <v>15</v>
      </c>
      <c r="K205" s="52"/>
      <c r="L205" s="43"/>
    </row>
    <row r="206" spans="2:68" s="18" customFormat="1" ht="19.5" customHeight="1" x14ac:dyDescent="0.3">
      <c r="B206" s="74" t="s">
        <v>40</v>
      </c>
      <c r="C206" s="54" t="s">
        <v>124</v>
      </c>
      <c r="D206" s="54">
        <v>56</v>
      </c>
      <c r="E206" s="54"/>
      <c r="F206" s="54" t="s">
        <v>125</v>
      </c>
      <c r="G206" s="135">
        <v>0.27600000000000002</v>
      </c>
      <c r="H206" s="75" t="s">
        <v>20</v>
      </c>
      <c r="I206" s="41">
        <v>70000</v>
      </c>
      <c r="J206" s="35" t="s">
        <v>15</v>
      </c>
      <c r="K206" s="52"/>
      <c r="L206" s="37"/>
    </row>
    <row r="207" spans="2:68" s="18" customFormat="1" ht="19.5" customHeight="1" x14ac:dyDescent="0.3">
      <c r="B207" s="74" t="s">
        <v>40</v>
      </c>
      <c r="C207" s="54" t="s">
        <v>124</v>
      </c>
      <c r="D207" s="54">
        <v>80</v>
      </c>
      <c r="E207" s="54"/>
      <c r="F207" s="54" t="s">
        <v>126</v>
      </c>
      <c r="G207" s="135">
        <v>2.3540000000000001</v>
      </c>
      <c r="H207" s="76" t="s">
        <v>14</v>
      </c>
      <c r="I207" s="41">
        <v>140000</v>
      </c>
      <c r="J207" s="35" t="s">
        <v>15</v>
      </c>
      <c r="K207" s="52"/>
      <c r="L207" s="37"/>
    </row>
    <row r="208" spans="2:68" s="18" customFormat="1" ht="19.5" customHeight="1" x14ac:dyDescent="0.3">
      <c r="B208" s="74" t="s">
        <v>40</v>
      </c>
      <c r="C208" s="54" t="s">
        <v>124</v>
      </c>
      <c r="D208" s="54">
        <v>100</v>
      </c>
      <c r="E208" s="54"/>
      <c r="F208" s="54" t="s">
        <v>126</v>
      </c>
      <c r="G208" s="135">
        <v>0.39500000000000002</v>
      </c>
      <c r="H208" s="76" t="s">
        <v>14</v>
      </c>
      <c r="I208" s="41">
        <v>140000</v>
      </c>
      <c r="J208" s="35" t="s">
        <v>15</v>
      </c>
      <c r="K208" s="52"/>
      <c r="L208" s="37"/>
    </row>
    <row r="209" spans="2:21" s="18" customFormat="1" ht="19.5" customHeight="1" x14ac:dyDescent="0.3">
      <c r="B209" s="74" t="s">
        <v>40</v>
      </c>
      <c r="C209" s="54" t="s">
        <v>124</v>
      </c>
      <c r="D209" s="54">
        <v>8</v>
      </c>
      <c r="E209" s="74" t="s">
        <v>127</v>
      </c>
      <c r="F209" s="54" t="s">
        <v>128</v>
      </c>
      <c r="G209" s="135">
        <v>0.98</v>
      </c>
      <c r="H209" s="76" t="s">
        <v>14</v>
      </c>
      <c r="I209" s="41">
        <v>190000</v>
      </c>
      <c r="J209" s="35" t="s">
        <v>15</v>
      </c>
      <c r="K209" s="52"/>
      <c r="L209" s="37"/>
    </row>
    <row r="210" spans="2:21" s="18" customFormat="1" ht="19.5" customHeight="1" x14ac:dyDescent="0.3">
      <c r="B210" s="61" t="s">
        <v>40</v>
      </c>
      <c r="C210" s="56" t="s">
        <v>124</v>
      </c>
      <c r="D210" s="56">
        <v>10</v>
      </c>
      <c r="E210" s="61"/>
      <c r="F210" s="56" t="s">
        <v>129</v>
      </c>
      <c r="G210" s="136">
        <v>1.3440000000000001</v>
      </c>
      <c r="H210" s="76" t="s">
        <v>14</v>
      </c>
      <c r="I210" s="58">
        <v>300000</v>
      </c>
      <c r="J210" s="68" t="s">
        <v>15</v>
      </c>
      <c r="K210" s="52"/>
      <c r="L210" s="37"/>
    </row>
    <row r="211" spans="2:21" s="18" customFormat="1" ht="19.5" customHeight="1" x14ac:dyDescent="0.3">
      <c r="B211" s="61" t="s">
        <v>40</v>
      </c>
      <c r="C211" s="56" t="s">
        <v>124</v>
      </c>
      <c r="D211" s="56">
        <v>12</v>
      </c>
      <c r="E211" s="61"/>
      <c r="F211" s="56" t="s">
        <v>129</v>
      </c>
      <c r="G211" s="136">
        <v>2.383</v>
      </c>
      <c r="H211" s="76" t="s">
        <v>14</v>
      </c>
      <c r="I211" s="58">
        <v>300000</v>
      </c>
      <c r="J211" s="68" t="s">
        <v>15</v>
      </c>
      <c r="K211" s="52"/>
      <c r="L211" s="37"/>
    </row>
    <row r="212" spans="2:21" s="18" customFormat="1" ht="19.5" customHeight="1" x14ac:dyDescent="0.3">
      <c r="B212" s="61" t="s">
        <v>40</v>
      </c>
      <c r="C212" s="56" t="s">
        <v>124</v>
      </c>
      <c r="D212" s="56">
        <v>14</v>
      </c>
      <c r="E212" s="61"/>
      <c r="F212" s="56" t="s">
        <v>129</v>
      </c>
      <c r="G212" s="136">
        <v>2.39</v>
      </c>
      <c r="H212" s="76" t="s">
        <v>14</v>
      </c>
      <c r="I212" s="58">
        <v>300000</v>
      </c>
      <c r="J212" s="68" t="s">
        <v>15</v>
      </c>
      <c r="K212" s="52"/>
      <c r="L212" s="37"/>
    </row>
    <row r="213" spans="2:21" s="18" customFormat="1" ht="19.5" customHeight="1" x14ac:dyDescent="0.3">
      <c r="B213" s="61" t="s">
        <v>40</v>
      </c>
      <c r="C213" s="56" t="s">
        <v>124</v>
      </c>
      <c r="D213" s="56">
        <v>10</v>
      </c>
      <c r="E213" s="56"/>
      <c r="F213" s="56" t="s">
        <v>130</v>
      </c>
      <c r="G213" s="136">
        <v>7</v>
      </c>
      <c r="H213" s="76" t="s">
        <v>14</v>
      </c>
      <c r="I213" s="58">
        <v>190000</v>
      </c>
      <c r="J213" s="68" t="s">
        <v>74</v>
      </c>
      <c r="K213" s="52"/>
      <c r="L213" s="37"/>
    </row>
    <row r="214" spans="2:21" s="21" customFormat="1" ht="19.5" customHeight="1" x14ac:dyDescent="0.3">
      <c r="B214" s="61" t="s">
        <v>40</v>
      </c>
      <c r="C214" s="56" t="s">
        <v>124</v>
      </c>
      <c r="D214" s="56">
        <v>12</v>
      </c>
      <c r="E214" s="56"/>
      <c r="F214" s="56" t="s">
        <v>130</v>
      </c>
      <c r="G214" s="136">
        <v>6.0620000000000003</v>
      </c>
      <c r="H214" s="76" t="s">
        <v>14</v>
      </c>
      <c r="I214" s="58">
        <v>170000</v>
      </c>
      <c r="J214" s="68" t="s">
        <v>15</v>
      </c>
      <c r="K214" s="52"/>
      <c r="L214" s="37"/>
      <c r="M214" s="18"/>
      <c r="N214" s="18"/>
      <c r="O214" s="18"/>
      <c r="P214" s="18"/>
      <c r="Q214" s="18"/>
      <c r="R214" s="18"/>
      <c r="S214" s="18"/>
      <c r="T214" s="18"/>
      <c r="U214" s="18"/>
    </row>
    <row r="215" spans="2:21" s="18" customFormat="1" ht="19.5" customHeight="1" x14ac:dyDescent="0.3">
      <c r="B215" s="74" t="s">
        <v>40</v>
      </c>
      <c r="C215" s="54" t="s">
        <v>124</v>
      </c>
      <c r="D215" s="54">
        <v>12</v>
      </c>
      <c r="E215" s="54"/>
      <c r="F215" s="54" t="s">
        <v>130</v>
      </c>
      <c r="G215" s="135">
        <v>4.5999999999999999E-2</v>
      </c>
      <c r="H215" s="76" t="s">
        <v>14</v>
      </c>
      <c r="I215" s="41">
        <v>170000</v>
      </c>
      <c r="J215" s="35" t="s">
        <v>15</v>
      </c>
      <c r="K215" s="52"/>
      <c r="L215" s="37"/>
    </row>
    <row r="216" spans="2:21" s="18" customFormat="1" ht="19.5" customHeight="1" x14ac:dyDescent="0.3">
      <c r="B216" s="61" t="s">
        <v>40</v>
      </c>
      <c r="C216" s="56" t="s">
        <v>124</v>
      </c>
      <c r="D216" s="56">
        <v>14</v>
      </c>
      <c r="E216" s="56"/>
      <c r="F216" s="56" t="s">
        <v>130</v>
      </c>
      <c r="G216" s="136">
        <v>7</v>
      </c>
      <c r="H216" s="76" t="s">
        <v>14</v>
      </c>
      <c r="I216" s="58">
        <v>190000</v>
      </c>
      <c r="J216" s="68" t="s">
        <v>74</v>
      </c>
      <c r="K216" s="52"/>
      <c r="L216" s="37"/>
    </row>
    <row r="217" spans="2:21" s="18" customFormat="1" ht="19.5" customHeight="1" x14ac:dyDescent="0.3">
      <c r="B217" s="74" t="s">
        <v>40</v>
      </c>
      <c r="C217" s="54" t="s">
        <v>124</v>
      </c>
      <c r="D217" s="54">
        <v>16</v>
      </c>
      <c r="E217" s="54"/>
      <c r="F217" s="54" t="s">
        <v>130</v>
      </c>
      <c r="G217" s="135">
        <v>2.0009999999999999</v>
      </c>
      <c r="H217" s="76" t="s">
        <v>14</v>
      </c>
      <c r="I217" s="41">
        <v>170000</v>
      </c>
      <c r="J217" s="35" t="s">
        <v>15</v>
      </c>
      <c r="K217" s="52"/>
      <c r="L217" s="37"/>
    </row>
    <row r="218" spans="2:21" s="18" customFormat="1" ht="19.5" customHeight="1" x14ac:dyDescent="0.3">
      <c r="B218" s="74" t="s">
        <v>40</v>
      </c>
      <c r="C218" s="54" t="s">
        <v>124</v>
      </c>
      <c r="D218" s="54">
        <v>18</v>
      </c>
      <c r="E218" s="54"/>
      <c r="F218" s="54" t="s">
        <v>130</v>
      </c>
      <c r="G218" s="135">
        <v>0.79</v>
      </c>
      <c r="H218" s="76" t="s">
        <v>14</v>
      </c>
      <c r="I218" s="41">
        <v>170000</v>
      </c>
      <c r="J218" s="35" t="s">
        <v>15</v>
      </c>
      <c r="K218" s="52"/>
      <c r="L218" s="37"/>
    </row>
    <row r="219" spans="2:21" s="18" customFormat="1" ht="19.5" customHeight="1" x14ac:dyDescent="0.3">
      <c r="B219" s="74" t="s">
        <v>40</v>
      </c>
      <c r="C219" s="54" t="s">
        <v>124</v>
      </c>
      <c r="D219" s="54">
        <v>18</v>
      </c>
      <c r="E219" s="54"/>
      <c r="F219" s="54" t="s">
        <v>130</v>
      </c>
      <c r="G219" s="135">
        <v>1.4830000000000001</v>
      </c>
      <c r="H219" s="76" t="s">
        <v>14</v>
      </c>
      <c r="I219" s="41">
        <v>170000</v>
      </c>
      <c r="J219" s="35" t="s">
        <v>15</v>
      </c>
      <c r="K219" s="52"/>
      <c r="L219" s="37"/>
    </row>
    <row r="220" spans="2:21" s="18" customFormat="1" ht="19.5" customHeight="1" x14ac:dyDescent="0.3">
      <c r="B220" s="61" t="s">
        <v>40</v>
      </c>
      <c r="C220" s="56" t="s">
        <v>124</v>
      </c>
      <c r="D220" s="56">
        <v>20</v>
      </c>
      <c r="E220" s="56"/>
      <c r="F220" s="56" t="s">
        <v>130</v>
      </c>
      <c r="G220" s="136">
        <v>2.6560000000000001</v>
      </c>
      <c r="H220" s="76" t="s">
        <v>14</v>
      </c>
      <c r="I220" s="58">
        <v>170000</v>
      </c>
      <c r="J220" s="68" t="s">
        <v>15</v>
      </c>
      <c r="K220" s="52"/>
      <c r="L220" s="37"/>
    </row>
    <row r="221" spans="2:21" s="18" customFormat="1" ht="19.5" customHeight="1" x14ac:dyDescent="0.3">
      <c r="B221" s="74" t="s">
        <v>40</v>
      </c>
      <c r="C221" s="54" t="s">
        <v>124</v>
      </c>
      <c r="D221" s="54">
        <v>20</v>
      </c>
      <c r="E221" s="54"/>
      <c r="F221" s="54" t="s">
        <v>130</v>
      </c>
      <c r="G221" s="135">
        <v>18.018000000000001</v>
      </c>
      <c r="H221" s="76" t="s">
        <v>14</v>
      </c>
      <c r="I221" s="41">
        <v>170000</v>
      </c>
      <c r="J221" s="35" t="s">
        <v>15</v>
      </c>
      <c r="K221" s="52"/>
      <c r="L221" s="37"/>
    </row>
    <row r="222" spans="2:21" s="18" customFormat="1" ht="19.5" customHeight="1" x14ac:dyDescent="0.3">
      <c r="B222" s="61" t="s">
        <v>40</v>
      </c>
      <c r="C222" s="56" t="s">
        <v>124</v>
      </c>
      <c r="D222" s="56">
        <v>22</v>
      </c>
      <c r="E222" s="56"/>
      <c r="F222" s="131"/>
      <c r="G222" s="138">
        <v>8</v>
      </c>
      <c r="H222" s="132"/>
      <c r="I222" s="58">
        <v>190000</v>
      </c>
      <c r="J222" s="68" t="s">
        <v>74</v>
      </c>
      <c r="K222" s="52"/>
      <c r="L222" s="37"/>
    </row>
    <row r="223" spans="2:21" s="21" customFormat="1" ht="19.5" customHeight="1" x14ac:dyDescent="0.3">
      <c r="B223" s="61" t="s">
        <v>40</v>
      </c>
      <c r="C223" s="56" t="s">
        <v>124</v>
      </c>
      <c r="D223" s="56">
        <v>25</v>
      </c>
      <c r="E223" s="56"/>
      <c r="F223" s="56" t="s">
        <v>130</v>
      </c>
      <c r="G223" s="136">
        <v>3.081</v>
      </c>
      <c r="H223" s="76" t="s">
        <v>14</v>
      </c>
      <c r="I223" s="58">
        <v>170000</v>
      </c>
      <c r="J223" s="68" t="s">
        <v>15</v>
      </c>
      <c r="K223" s="52"/>
      <c r="L223" s="37"/>
      <c r="M223" s="18"/>
      <c r="N223" s="18"/>
      <c r="O223" s="18"/>
      <c r="P223" s="18"/>
      <c r="Q223" s="18"/>
      <c r="R223" s="18"/>
      <c r="S223" s="18"/>
      <c r="T223" s="18"/>
      <c r="U223" s="18"/>
    </row>
    <row r="224" spans="2:21" s="18" customFormat="1" ht="19.5" customHeight="1" x14ac:dyDescent="0.3">
      <c r="B224" s="74" t="s">
        <v>40</v>
      </c>
      <c r="C224" s="54" t="s">
        <v>124</v>
      </c>
      <c r="D224" s="54">
        <v>28</v>
      </c>
      <c r="E224" s="54"/>
      <c r="F224" s="54" t="s">
        <v>130</v>
      </c>
      <c r="G224" s="135">
        <v>0.86099999999999999</v>
      </c>
      <c r="H224" s="76" t="s">
        <v>14</v>
      </c>
      <c r="I224" s="41">
        <v>170000</v>
      </c>
      <c r="J224" s="35" t="s">
        <v>15</v>
      </c>
      <c r="K224" s="52"/>
      <c r="L224" s="37"/>
    </row>
    <row r="225" spans="2:21" s="21" customFormat="1" ht="19.5" customHeight="1" x14ac:dyDescent="0.3">
      <c r="B225" s="61" t="s">
        <v>40</v>
      </c>
      <c r="C225" s="56" t="s">
        <v>124</v>
      </c>
      <c r="D225" s="56">
        <v>28</v>
      </c>
      <c r="E225" s="56"/>
      <c r="F225" s="56" t="s">
        <v>130</v>
      </c>
      <c r="G225" s="136">
        <v>4.5979999999999999</v>
      </c>
      <c r="H225" s="76" t="s">
        <v>14</v>
      </c>
      <c r="I225" s="58">
        <v>170000</v>
      </c>
      <c r="J225" s="68" t="s">
        <v>15</v>
      </c>
      <c r="K225" s="52"/>
      <c r="L225" s="37"/>
      <c r="M225" s="18"/>
      <c r="N225" s="18"/>
      <c r="O225" s="18"/>
      <c r="P225" s="18"/>
      <c r="Q225" s="18"/>
      <c r="R225" s="18"/>
      <c r="S225" s="18"/>
      <c r="T225" s="18"/>
      <c r="U225" s="18"/>
    </row>
    <row r="226" spans="2:21" s="18" customFormat="1" ht="19.5" customHeight="1" x14ac:dyDescent="0.3">
      <c r="B226" s="74" t="s">
        <v>40</v>
      </c>
      <c r="C226" s="54" t="s">
        <v>124</v>
      </c>
      <c r="D226" s="54">
        <v>30</v>
      </c>
      <c r="E226" s="54"/>
      <c r="F226" s="54" t="s">
        <v>130</v>
      </c>
      <c r="G226" s="135">
        <v>6.7569999999999997</v>
      </c>
      <c r="H226" s="76" t="s">
        <v>14</v>
      </c>
      <c r="I226" s="41">
        <v>140000</v>
      </c>
      <c r="J226" s="35" t="s">
        <v>15</v>
      </c>
      <c r="K226" s="52"/>
      <c r="L226" s="37"/>
    </row>
    <row r="227" spans="2:21" s="18" customFormat="1" ht="19.5" customHeight="1" x14ac:dyDescent="0.3">
      <c r="B227" s="74" t="s">
        <v>40</v>
      </c>
      <c r="C227" s="54" t="s">
        <v>124</v>
      </c>
      <c r="D227" s="54">
        <v>32</v>
      </c>
      <c r="E227" s="54"/>
      <c r="F227" s="54" t="s">
        <v>130</v>
      </c>
      <c r="G227" s="135">
        <v>4.8659999999999997</v>
      </c>
      <c r="H227" s="76" t="s">
        <v>14</v>
      </c>
      <c r="I227" s="41">
        <v>140000</v>
      </c>
      <c r="J227" s="35" t="s">
        <v>15</v>
      </c>
      <c r="K227" s="52"/>
      <c r="L227" s="37"/>
    </row>
    <row r="228" spans="2:21" s="18" customFormat="1" ht="19.5" customHeight="1" x14ac:dyDescent="0.3">
      <c r="B228" s="74" t="s">
        <v>40</v>
      </c>
      <c r="C228" s="54" t="s">
        <v>124</v>
      </c>
      <c r="D228" s="54">
        <v>34</v>
      </c>
      <c r="E228" s="54"/>
      <c r="F228" s="54" t="s">
        <v>130</v>
      </c>
      <c r="G228" s="135">
        <v>3.7309999999999999</v>
      </c>
      <c r="H228" s="76" t="s">
        <v>14</v>
      </c>
      <c r="I228" s="41">
        <v>140000</v>
      </c>
      <c r="J228" s="35" t="s">
        <v>15</v>
      </c>
      <c r="K228" s="52"/>
      <c r="L228" s="37"/>
    </row>
    <row r="229" spans="2:21" s="18" customFormat="1" ht="19.5" customHeight="1" x14ac:dyDescent="0.3">
      <c r="B229" s="74" t="s">
        <v>40</v>
      </c>
      <c r="C229" s="54" t="s">
        <v>124</v>
      </c>
      <c r="D229" s="54">
        <v>35</v>
      </c>
      <c r="E229" s="54"/>
      <c r="F229" s="54" t="s">
        <v>130</v>
      </c>
      <c r="G229" s="135">
        <v>1.7509999999999999</v>
      </c>
      <c r="H229" s="76" t="s">
        <v>14</v>
      </c>
      <c r="I229" s="41">
        <v>140000</v>
      </c>
      <c r="J229" s="35" t="s">
        <v>15</v>
      </c>
      <c r="K229" s="52"/>
      <c r="L229" s="37"/>
    </row>
    <row r="230" spans="2:21" s="18" customFormat="1" ht="19.5" customHeight="1" x14ac:dyDescent="0.3">
      <c r="B230" s="74" t="s">
        <v>40</v>
      </c>
      <c r="C230" s="54" t="s">
        <v>124</v>
      </c>
      <c r="D230" s="54">
        <v>36</v>
      </c>
      <c r="E230" s="54"/>
      <c r="F230" s="54" t="s">
        <v>130</v>
      </c>
      <c r="G230" s="135">
        <v>9.859</v>
      </c>
      <c r="H230" s="76" t="s">
        <v>14</v>
      </c>
      <c r="I230" s="41">
        <v>140000</v>
      </c>
      <c r="J230" s="35" t="s">
        <v>15</v>
      </c>
      <c r="K230" s="52"/>
      <c r="L230" s="37"/>
    </row>
    <row r="231" spans="2:21" s="18" customFormat="1" ht="19.5" customHeight="1" x14ac:dyDescent="0.3">
      <c r="B231" s="74" t="s">
        <v>40</v>
      </c>
      <c r="C231" s="54" t="s">
        <v>124</v>
      </c>
      <c r="D231" s="54">
        <v>38</v>
      </c>
      <c r="E231" s="54"/>
      <c r="F231" s="54" t="s">
        <v>130</v>
      </c>
      <c r="G231" s="135">
        <v>2.149</v>
      </c>
      <c r="H231" s="76" t="s">
        <v>14</v>
      </c>
      <c r="I231" s="41">
        <v>140000</v>
      </c>
      <c r="J231" s="35" t="s">
        <v>15</v>
      </c>
      <c r="K231" s="52"/>
      <c r="L231" s="37"/>
    </row>
    <row r="232" spans="2:21" s="18" customFormat="1" ht="19.5" customHeight="1" x14ac:dyDescent="0.3">
      <c r="B232" s="74" t="s">
        <v>40</v>
      </c>
      <c r="C232" s="54" t="s">
        <v>124</v>
      </c>
      <c r="D232" s="54">
        <v>40</v>
      </c>
      <c r="E232" s="54"/>
      <c r="F232" s="54" t="s">
        <v>130</v>
      </c>
      <c r="G232" s="135">
        <v>5.8129999999999997</v>
      </c>
      <c r="H232" s="76" t="s">
        <v>14</v>
      </c>
      <c r="I232" s="41">
        <v>140000</v>
      </c>
      <c r="J232" s="35" t="s">
        <v>15</v>
      </c>
      <c r="K232" s="52"/>
      <c r="L232" s="37"/>
    </row>
    <row r="233" spans="2:21" s="18" customFormat="1" ht="19.5" customHeight="1" x14ac:dyDescent="0.3">
      <c r="B233" s="74" t="s">
        <v>40</v>
      </c>
      <c r="C233" s="54" t="s">
        <v>124</v>
      </c>
      <c r="D233" s="54">
        <v>42</v>
      </c>
      <c r="E233" s="54"/>
      <c r="F233" s="54" t="s">
        <v>130</v>
      </c>
      <c r="G233" s="135">
        <v>3.9660000000000002</v>
      </c>
      <c r="H233" s="76" t="s">
        <v>14</v>
      </c>
      <c r="I233" s="41">
        <v>140000</v>
      </c>
      <c r="J233" s="35" t="s">
        <v>15</v>
      </c>
      <c r="K233" s="52"/>
      <c r="L233" s="37"/>
    </row>
    <row r="234" spans="2:21" s="18" customFormat="1" ht="19.5" customHeight="1" x14ac:dyDescent="0.3">
      <c r="B234" s="74" t="s">
        <v>40</v>
      </c>
      <c r="C234" s="54" t="s">
        <v>124</v>
      </c>
      <c r="D234" s="54">
        <v>45</v>
      </c>
      <c r="E234" s="54"/>
      <c r="F234" s="54" t="s">
        <v>130</v>
      </c>
      <c r="G234" s="135">
        <v>1.9139999999999999</v>
      </c>
      <c r="H234" s="76" t="s">
        <v>14</v>
      </c>
      <c r="I234" s="41">
        <v>140000</v>
      </c>
      <c r="J234" s="35" t="s">
        <v>15</v>
      </c>
      <c r="K234" s="52"/>
      <c r="L234" s="37"/>
    </row>
    <row r="235" spans="2:21" s="18" customFormat="1" ht="19.5" customHeight="1" x14ac:dyDescent="0.3">
      <c r="B235" s="74" t="s">
        <v>40</v>
      </c>
      <c r="C235" s="54" t="s">
        <v>124</v>
      </c>
      <c r="D235" s="54">
        <v>48</v>
      </c>
      <c r="E235" s="54"/>
      <c r="F235" s="54" t="s">
        <v>130</v>
      </c>
      <c r="G235" s="135">
        <v>5.3170000000000002</v>
      </c>
      <c r="H235" s="76" t="s">
        <v>14</v>
      </c>
      <c r="I235" s="41">
        <v>140000</v>
      </c>
      <c r="J235" s="35" t="s">
        <v>15</v>
      </c>
      <c r="K235" s="52"/>
      <c r="L235" s="37"/>
    </row>
    <row r="236" spans="2:21" s="18" customFormat="1" ht="19.5" customHeight="1" x14ac:dyDescent="0.3">
      <c r="B236" s="74" t="s">
        <v>40</v>
      </c>
      <c r="C236" s="54" t="s">
        <v>124</v>
      </c>
      <c r="D236" s="54">
        <v>50</v>
      </c>
      <c r="E236" s="54"/>
      <c r="F236" s="54" t="s">
        <v>130</v>
      </c>
      <c r="G236" s="135">
        <v>3.3180000000000001</v>
      </c>
      <c r="H236" s="76" t="s">
        <v>14</v>
      </c>
      <c r="I236" s="41">
        <v>140000</v>
      </c>
      <c r="J236" s="35" t="s">
        <v>15</v>
      </c>
      <c r="K236" s="52"/>
      <c r="L236" s="37"/>
    </row>
    <row r="237" spans="2:21" s="18" customFormat="1" ht="19.5" customHeight="1" x14ac:dyDescent="0.3">
      <c r="B237" s="74" t="s">
        <v>40</v>
      </c>
      <c r="C237" s="54" t="s">
        <v>124</v>
      </c>
      <c r="D237" s="54">
        <v>52</v>
      </c>
      <c r="E237" s="54"/>
      <c r="F237" s="54" t="s">
        <v>130</v>
      </c>
      <c r="G237" s="135">
        <v>1.6919999999999999</v>
      </c>
      <c r="H237" s="76" t="s">
        <v>14</v>
      </c>
      <c r="I237" s="41">
        <v>140000</v>
      </c>
      <c r="J237" s="35" t="s">
        <v>15</v>
      </c>
      <c r="K237" s="52"/>
      <c r="L237" s="37"/>
    </row>
    <row r="238" spans="2:21" s="18" customFormat="1" ht="19.5" customHeight="1" x14ac:dyDescent="0.3">
      <c r="B238" s="74" t="s">
        <v>40</v>
      </c>
      <c r="C238" s="54" t="s">
        <v>124</v>
      </c>
      <c r="D238" s="54">
        <v>56</v>
      </c>
      <c r="E238" s="54"/>
      <c r="F238" s="54" t="s">
        <v>130</v>
      </c>
      <c r="G238" s="135">
        <v>5.6269999999999998</v>
      </c>
      <c r="H238" s="76" t="s">
        <v>14</v>
      </c>
      <c r="I238" s="41">
        <v>140000</v>
      </c>
      <c r="J238" s="35" t="s">
        <v>15</v>
      </c>
      <c r="K238" s="52"/>
      <c r="L238" s="37"/>
      <c r="N238" s="18" t="s">
        <v>92</v>
      </c>
    </row>
    <row r="239" spans="2:21" s="18" customFormat="1" ht="19.5" customHeight="1" x14ac:dyDescent="0.3">
      <c r="B239" s="74" t="s">
        <v>40</v>
      </c>
      <c r="C239" s="54" t="s">
        <v>124</v>
      </c>
      <c r="D239" s="54">
        <v>60</v>
      </c>
      <c r="E239" s="54"/>
      <c r="F239" s="54" t="s">
        <v>130</v>
      </c>
      <c r="G239" s="135">
        <v>16.917999999999999</v>
      </c>
      <c r="H239" s="76" t="s">
        <v>14</v>
      </c>
      <c r="I239" s="41">
        <v>140000</v>
      </c>
      <c r="J239" s="35" t="s">
        <v>15</v>
      </c>
      <c r="K239" s="52"/>
      <c r="L239" s="37"/>
    </row>
    <row r="240" spans="2:21" s="18" customFormat="1" ht="19.5" customHeight="1" x14ac:dyDescent="0.3">
      <c r="B240" s="74" t="s">
        <v>40</v>
      </c>
      <c r="C240" s="54" t="s">
        <v>124</v>
      </c>
      <c r="D240" s="54">
        <v>65</v>
      </c>
      <c r="E240" s="54"/>
      <c r="F240" s="54" t="s">
        <v>130</v>
      </c>
      <c r="G240" s="135">
        <v>1.61</v>
      </c>
      <c r="H240" s="76" t="s">
        <v>14</v>
      </c>
      <c r="I240" s="41">
        <v>140000</v>
      </c>
      <c r="J240" s="35" t="s">
        <v>15</v>
      </c>
      <c r="K240" s="52"/>
      <c r="L240" s="37"/>
    </row>
    <row r="241" spans="2:21" s="18" customFormat="1" ht="19.5" customHeight="1" x14ac:dyDescent="0.3">
      <c r="B241" s="74" t="s">
        <v>40</v>
      </c>
      <c r="C241" s="54" t="s">
        <v>124</v>
      </c>
      <c r="D241" s="54">
        <v>68</v>
      </c>
      <c r="E241" s="54"/>
      <c r="F241" s="54" t="s">
        <v>130</v>
      </c>
      <c r="G241" s="135">
        <v>5.9950000000000001</v>
      </c>
      <c r="H241" s="76" t="s">
        <v>14</v>
      </c>
      <c r="I241" s="41">
        <v>140000</v>
      </c>
      <c r="J241" s="35" t="s">
        <v>15</v>
      </c>
      <c r="K241" s="52"/>
      <c r="L241" s="37"/>
    </row>
    <row r="242" spans="2:21" s="18" customFormat="1" ht="19.5" customHeight="1" x14ac:dyDescent="0.3">
      <c r="B242" s="74" t="s">
        <v>40</v>
      </c>
      <c r="C242" s="54" t="s">
        <v>124</v>
      </c>
      <c r="D242" s="54">
        <v>70</v>
      </c>
      <c r="E242" s="54"/>
      <c r="F242" s="54" t="s">
        <v>130</v>
      </c>
      <c r="G242" s="135">
        <v>0.30499999999999999</v>
      </c>
      <c r="H242" s="76" t="s">
        <v>14</v>
      </c>
      <c r="I242" s="41">
        <v>140000</v>
      </c>
      <c r="J242" s="35" t="s">
        <v>15</v>
      </c>
      <c r="K242" s="52"/>
      <c r="L242" s="37"/>
    </row>
    <row r="243" spans="2:21" s="18" customFormat="1" ht="19.5" customHeight="1" x14ac:dyDescent="0.3">
      <c r="B243" s="74" t="s">
        <v>40</v>
      </c>
      <c r="C243" s="54" t="s">
        <v>124</v>
      </c>
      <c r="D243" s="54">
        <v>75</v>
      </c>
      <c r="E243" s="54"/>
      <c r="F243" s="54" t="s">
        <v>130</v>
      </c>
      <c r="G243" s="135">
        <v>4.0469999999999997</v>
      </c>
      <c r="H243" s="76" t="s">
        <v>14</v>
      </c>
      <c r="I243" s="41">
        <v>140000</v>
      </c>
      <c r="J243" s="35" t="s">
        <v>15</v>
      </c>
      <c r="K243" s="52"/>
      <c r="L243" s="37"/>
    </row>
    <row r="244" spans="2:21" s="18" customFormat="1" ht="19.5" customHeight="1" x14ac:dyDescent="0.3">
      <c r="B244" s="74" t="s">
        <v>40</v>
      </c>
      <c r="C244" s="54" t="s">
        <v>124</v>
      </c>
      <c r="D244" s="54">
        <v>80</v>
      </c>
      <c r="E244" s="54"/>
      <c r="F244" s="54" t="s">
        <v>130</v>
      </c>
      <c r="G244" s="135">
        <v>2.3809999999999998</v>
      </c>
      <c r="H244" s="76" t="s">
        <v>14</v>
      </c>
      <c r="I244" s="41">
        <v>140000</v>
      </c>
      <c r="J244" s="35" t="s">
        <v>15</v>
      </c>
      <c r="K244" s="52"/>
      <c r="L244" s="37"/>
    </row>
    <row r="245" spans="2:21" s="18" customFormat="1" ht="19.5" customHeight="1" x14ac:dyDescent="0.3">
      <c r="B245" s="74" t="s">
        <v>40</v>
      </c>
      <c r="C245" s="54" t="s">
        <v>124</v>
      </c>
      <c r="D245" s="54">
        <v>85</v>
      </c>
      <c r="E245" s="54"/>
      <c r="F245" s="54" t="s">
        <v>130</v>
      </c>
      <c r="G245" s="135">
        <v>5.5E-2</v>
      </c>
      <c r="H245" s="76" t="s">
        <v>14</v>
      </c>
      <c r="I245" s="41">
        <v>170000</v>
      </c>
      <c r="J245" s="35" t="s">
        <v>15</v>
      </c>
      <c r="K245" s="52"/>
      <c r="L245" s="37"/>
    </row>
    <row r="246" spans="2:21" s="18" customFormat="1" ht="19.5" customHeight="1" x14ac:dyDescent="0.3">
      <c r="B246" s="61" t="s">
        <v>40</v>
      </c>
      <c r="C246" s="56" t="s">
        <v>124</v>
      </c>
      <c r="D246" s="56">
        <v>85</v>
      </c>
      <c r="E246" s="56"/>
      <c r="F246" s="56" t="s">
        <v>130</v>
      </c>
      <c r="G246" s="136">
        <v>0.56599999999999995</v>
      </c>
      <c r="H246" s="76" t="s">
        <v>14</v>
      </c>
      <c r="I246" s="58">
        <v>170000</v>
      </c>
      <c r="J246" s="68" t="s">
        <v>15</v>
      </c>
      <c r="K246" s="52"/>
      <c r="L246" s="37"/>
    </row>
    <row r="247" spans="2:21" s="18" customFormat="1" ht="19.5" customHeight="1" x14ac:dyDescent="0.3">
      <c r="B247" s="61" t="s">
        <v>40</v>
      </c>
      <c r="C247" s="56" t="s">
        <v>124</v>
      </c>
      <c r="D247" s="56">
        <v>85</v>
      </c>
      <c r="E247" s="56"/>
      <c r="F247" s="56" t="s">
        <v>130</v>
      </c>
      <c r="G247" s="136">
        <v>3.3319999999999999</v>
      </c>
      <c r="H247" s="76" t="s">
        <v>14</v>
      </c>
      <c r="I247" s="58">
        <v>170000</v>
      </c>
      <c r="J247" s="68" t="s">
        <v>15</v>
      </c>
      <c r="K247" s="52"/>
      <c r="L247" s="37"/>
    </row>
    <row r="248" spans="2:21" s="18" customFormat="1" ht="19.5" customHeight="1" x14ac:dyDescent="0.3">
      <c r="B248" s="74" t="s">
        <v>40</v>
      </c>
      <c r="C248" s="54" t="s">
        <v>124</v>
      </c>
      <c r="D248" s="54">
        <v>90</v>
      </c>
      <c r="E248" s="54"/>
      <c r="F248" s="54" t="s">
        <v>130</v>
      </c>
      <c r="G248" s="135">
        <v>1.222</v>
      </c>
      <c r="H248" s="76" t="s">
        <v>14</v>
      </c>
      <c r="I248" s="41">
        <v>140000</v>
      </c>
      <c r="J248" s="35" t="s">
        <v>15</v>
      </c>
      <c r="K248" s="52"/>
      <c r="L248" s="37"/>
    </row>
    <row r="249" spans="2:21" s="18" customFormat="1" ht="19.5" customHeight="1" x14ac:dyDescent="0.3">
      <c r="B249" s="74" t="s">
        <v>40</v>
      </c>
      <c r="C249" s="54" t="s">
        <v>124</v>
      </c>
      <c r="D249" s="54">
        <v>100</v>
      </c>
      <c r="E249" s="54"/>
      <c r="F249" s="54" t="s">
        <v>130</v>
      </c>
      <c r="G249" s="135">
        <v>3.6880000000000002</v>
      </c>
      <c r="H249" s="76" t="s">
        <v>14</v>
      </c>
      <c r="I249" s="41">
        <v>140000</v>
      </c>
      <c r="J249" s="35" t="s">
        <v>15</v>
      </c>
      <c r="K249" s="52"/>
      <c r="L249" s="37"/>
    </row>
    <row r="250" spans="2:21" s="18" customFormat="1" ht="19.5" customHeight="1" x14ac:dyDescent="0.3">
      <c r="B250" s="74" t="s">
        <v>40</v>
      </c>
      <c r="C250" s="54" t="s">
        <v>124</v>
      </c>
      <c r="D250" s="54">
        <v>110</v>
      </c>
      <c r="E250" s="54"/>
      <c r="F250" s="54" t="s">
        <v>130</v>
      </c>
      <c r="G250" s="135">
        <v>5.6980000000000004</v>
      </c>
      <c r="H250" s="76" t="s">
        <v>14</v>
      </c>
      <c r="I250" s="41">
        <v>140000</v>
      </c>
      <c r="J250" s="35" t="s">
        <v>15</v>
      </c>
      <c r="K250" s="52"/>
      <c r="L250" s="37"/>
    </row>
    <row r="251" spans="2:21" s="21" customFormat="1" ht="19.5" customHeight="1" x14ac:dyDescent="0.3">
      <c r="B251" s="61" t="s">
        <v>40</v>
      </c>
      <c r="C251" s="56" t="s">
        <v>124</v>
      </c>
      <c r="D251" s="56">
        <v>120</v>
      </c>
      <c r="E251" s="56"/>
      <c r="F251" s="56" t="s">
        <v>130</v>
      </c>
      <c r="G251" s="136">
        <v>2.6539999999999999</v>
      </c>
      <c r="H251" s="76" t="s">
        <v>14</v>
      </c>
      <c r="I251" s="58">
        <v>140000</v>
      </c>
      <c r="J251" s="68" t="s">
        <v>15</v>
      </c>
      <c r="K251" s="52"/>
      <c r="L251" s="37"/>
      <c r="M251" s="18"/>
      <c r="N251" s="18"/>
      <c r="O251" s="18"/>
      <c r="P251" s="18"/>
      <c r="Q251" s="18"/>
      <c r="R251" s="18"/>
      <c r="S251" s="18"/>
      <c r="T251" s="18"/>
      <c r="U251" s="18"/>
    </row>
    <row r="252" spans="2:21" s="18" customFormat="1" ht="19.5" customHeight="1" x14ac:dyDescent="0.3">
      <c r="B252" s="74" t="s">
        <v>40</v>
      </c>
      <c r="C252" s="54" t="s">
        <v>124</v>
      </c>
      <c r="D252" s="54">
        <v>130</v>
      </c>
      <c r="E252" s="54"/>
      <c r="F252" s="54" t="s">
        <v>130</v>
      </c>
      <c r="G252" s="135">
        <v>5.9470000000000001</v>
      </c>
      <c r="H252" s="76" t="s">
        <v>14</v>
      </c>
      <c r="I252" s="41">
        <v>140000</v>
      </c>
      <c r="J252" s="35" t="s">
        <v>15</v>
      </c>
      <c r="K252" s="52"/>
      <c r="L252" s="37"/>
    </row>
    <row r="253" spans="2:21" s="18" customFormat="1" ht="19.5" customHeight="1" x14ac:dyDescent="0.3">
      <c r="B253" s="74" t="s">
        <v>40</v>
      </c>
      <c r="C253" s="54" t="s">
        <v>124</v>
      </c>
      <c r="D253" s="54">
        <v>140</v>
      </c>
      <c r="E253" s="54"/>
      <c r="F253" s="54" t="s">
        <v>130</v>
      </c>
      <c r="G253" s="135">
        <v>3.3210000000000002</v>
      </c>
      <c r="H253" s="76" t="s">
        <v>14</v>
      </c>
      <c r="I253" s="41">
        <v>140000</v>
      </c>
      <c r="J253" s="35" t="s">
        <v>15</v>
      </c>
      <c r="K253" s="52"/>
      <c r="L253" s="37"/>
    </row>
    <row r="254" spans="2:21" s="18" customFormat="1" ht="19.5" customHeight="1" x14ac:dyDescent="0.3">
      <c r="B254" s="74" t="s">
        <v>40</v>
      </c>
      <c r="C254" s="54" t="s">
        <v>124</v>
      </c>
      <c r="D254" s="54">
        <v>150</v>
      </c>
      <c r="E254" s="54"/>
      <c r="F254" s="54" t="s">
        <v>130</v>
      </c>
      <c r="G254" s="135">
        <v>8.8010000000000002</v>
      </c>
      <c r="H254" s="76" t="s">
        <v>14</v>
      </c>
      <c r="I254" s="41">
        <v>140000</v>
      </c>
      <c r="J254" s="35" t="s">
        <v>15</v>
      </c>
      <c r="K254" s="52"/>
      <c r="L254" s="37"/>
    </row>
    <row r="255" spans="2:21" s="18" customFormat="1" ht="19.5" customHeight="1" x14ac:dyDescent="0.3">
      <c r="B255" s="74" t="s">
        <v>40</v>
      </c>
      <c r="C255" s="54" t="s">
        <v>124</v>
      </c>
      <c r="D255" s="54">
        <v>160</v>
      </c>
      <c r="E255" s="54"/>
      <c r="F255" s="54" t="s">
        <v>130</v>
      </c>
      <c r="G255" s="135">
        <v>2.214</v>
      </c>
      <c r="H255" s="76" t="s">
        <v>14</v>
      </c>
      <c r="I255" s="41">
        <v>140000</v>
      </c>
      <c r="J255" s="35" t="s">
        <v>15</v>
      </c>
      <c r="K255" s="52"/>
      <c r="L255" s="37"/>
    </row>
    <row r="256" spans="2:21" s="18" customFormat="1" ht="19.5" customHeight="1" x14ac:dyDescent="0.3">
      <c r="B256" s="74" t="s">
        <v>40</v>
      </c>
      <c r="C256" s="54" t="s">
        <v>124</v>
      </c>
      <c r="D256" s="54">
        <v>170</v>
      </c>
      <c r="E256" s="54"/>
      <c r="F256" s="54" t="s">
        <v>130</v>
      </c>
      <c r="G256" s="135">
        <v>3.7440000000000002</v>
      </c>
      <c r="H256" s="76" t="s">
        <v>14</v>
      </c>
      <c r="I256" s="41">
        <v>140000</v>
      </c>
      <c r="J256" s="35" t="s">
        <v>15</v>
      </c>
      <c r="K256" s="52"/>
      <c r="L256" s="37"/>
    </row>
    <row r="257" spans="2:12" s="18" customFormat="1" ht="19.5" customHeight="1" x14ac:dyDescent="0.3">
      <c r="B257" s="74" t="s">
        <v>40</v>
      </c>
      <c r="C257" s="54" t="s">
        <v>124</v>
      </c>
      <c r="D257" s="54">
        <v>180</v>
      </c>
      <c r="E257" s="54"/>
      <c r="F257" s="54" t="s">
        <v>130</v>
      </c>
      <c r="G257" s="135">
        <v>8.6229999999999993</v>
      </c>
      <c r="H257" s="76" t="s">
        <v>14</v>
      </c>
      <c r="I257" s="41">
        <v>140000</v>
      </c>
      <c r="J257" s="35" t="s">
        <v>15</v>
      </c>
      <c r="K257" s="52"/>
      <c r="L257" s="37"/>
    </row>
    <row r="258" spans="2:12" s="18" customFormat="1" ht="19.5" customHeight="1" x14ac:dyDescent="0.3">
      <c r="B258" s="74" t="s">
        <v>40</v>
      </c>
      <c r="C258" s="54" t="s">
        <v>124</v>
      </c>
      <c r="D258" s="54">
        <v>190</v>
      </c>
      <c r="E258" s="54"/>
      <c r="F258" s="54" t="s">
        <v>130</v>
      </c>
      <c r="G258" s="135">
        <v>3.9849999999999999</v>
      </c>
      <c r="H258" s="76" t="s">
        <v>14</v>
      </c>
      <c r="I258" s="41">
        <v>140000</v>
      </c>
      <c r="J258" s="35" t="s">
        <v>15</v>
      </c>
      <c r="K258" s="52"/>
      <c r="L258" s="37"/>
    </row>
    <row r="259" spans="2:12" s="18" customFormat="1" ht="19.5" customHeight="1" x14ac:dyDescent="0.3">
      <c r="B259" s="74" t="s">
        <v>40</v>
      </c>
      <c r="C259" s="54" t="s">
        <v>124</v>
      </c>
      <c r="D259" s="54">
        <v>200</v>
      </c>
      <c r="E259" s="54"/>
      <c r="F259" s="54" t="s">
        <v>131</v>
      </c>
      <c r="G259" s="135">
        <v>1.4</v>
      </c>
      <c r="H259" s="76" t="s">
        <v>14</v>
      </c>
      <c r="I259" s="41">
        <v>140000</v>
      </c>
      <c r="J259" s="35" t="s">
        <v>15</v>
      </c>
      <c r="K259" s="52"/>
      <c r="L259" s="37"/>
    </row>
    <row r="260" spans="2:12" s="18" customFormat="1" ht="19.5" customHeight="1" x14ac:dyDescent="0.3">
      <c r="B260" s="33" t="s">
        <v>40</v>
      </c>
      <c r="C260" s="38" t="s">
        <v>132</v>
      </c>
      <c r="D260" s="38">
        <v>40</v>
      </c>
      <c r="E260" s="38"/>
      <c r="F260" s="38" t="s">
        <v>133</v>
      </c>
      <c r="G260" s="135">
        <v>0.372</v>
      </c>
      <c r="H260" s="28" t="s">
        <v>14</v>
      </c>
      <c r="I260" s="44">
        <v>250000</v>
      </c>
      <c r="J260" s="35" t="s">
        <v>15</v>
      </c>
      <c r="K260" s="52"/>
      <c r="L260" s="37"/>
    </row>
    <row r="261" spans="2:12" s="18" customFormat="1" ht="19.5" customHeight="1" x14ac:dyDescent="0.3">
      <c r="B261" s="33" t="s">
        <v>40</v>
      </c>
      <c r="C261" s="38" t="s">
        <v>132</v>
      </c>
      <c r="D261" s="38">
        <v>40</v>
      </c>
      <c r="E261" s="38"/>
      <c r="F261" s="38" t="s">
        <v>134</v>
      </c>
      <c r="G261" s="135">
        <v>4.8000000000000001E-2</v>
      </c>
      <c r="H261" s="28" t="s">
        <v>14</v>
      </c>
      <c r="I261" s="44">
        <v>250000</v>
      </c>
      <c r="J261" s="35" t="s">
        <v>15</v>
      </c>
      <c r="K261" s="52"/>
      <c r="L261" s="37"/>
    </row>
    <row r="262" spans="2:12" s="18" customFormat="1" ht="18.75" customHeight="1" x14ac:dyDescent="0.3">
      <c r="B262" s="33" t="s">
        <v>40</v>
      </c>
      <c r="C262" s="38" t="s">
        <v>135</v>
      </c>
      <c r="D262" s="38">
        <v>12</v>
      </c>
      <c r="E262" s="38"/>
      <c r="F262" s="38" t="s">
        <v>136</v>
      </c>
      <c r="G262" s="135">
        <v>0.63400000000000001</v>
      </c>
      <c r="H262" s="28" t="s">
        <v>14</v>
      </c>
      <c r="I262" s="44">
        <v>110000</v>
      </c>
      <c r="J262" s="35" t="s">
        <v>15</v>
      </c>
      <c r="K262" s="42"/>
      <c r="L262" s="37"/>
    </row>
    <row r="263" spans="2:12" s="18" customFormat="1" ht="18.75" customHeight="1" x14ac:dyDescent="0.3">
      <c r="B263" s="33" t="s">
        <v>40</v>
      </c>
      <c r="C263" s="38" t="s">
        <v>135</v>
      </c>
      <c r="D263" s="38">
        <v>14</v>
      </c>
      <c r="E263" s="38"/>
      <c r="F263" s="38" t="s">
        <v>136</v>
      </c>
      <c r="G263" s="135">
        <v>3.8</v>
      </c>
      <c r="H263" s="28" t="s">
        <v>14</v>
      </c>
      <c r="I263" s="44">
        <v>110000</v>
      </c>
      <c r="J263" s="35" t="s">
        <v>15</v>
      </c>
      <c r="K263" s="42"/>
      <c r="L263" s="37"/>
    </row>
    <row r="264" spans="2:12" s="18" customFormat="1" ht="18.75" customHeight="1" x14ac:dyDescent="0.3">
      <c r="B264" s="33" t="s">
        <v>40</v>
      </c>
      <c r="C264" s="38" t="s">
        <v>135</v>
      </c>
      <c r="D264" s="38">
        <v>16</v>
      </c>
      <c r="E264" s="38"/>
      <c r="F264" s="38" t="s">
        <v>136</v>
      </c>
      <c r="G264" s="135">
        <v>3.9580000000000002</v>
      </c>
      <c r="H264" s="28" t="s">
        <v>14</v>
      </c>
      <c r="I264" s="44">
        <v>110000</v>
      </c>
      <c r="J264" s="35" t="s">
        <v>15</v>
      </c>
      <c r="K264" s="42"/>
      <c r="L264" s="37"/>
    </row>
    <row r="265" spans="2:12" s="18" customFormat="1" ht="18.75" customHeight="1" x14ac:dyDescent="0.3">
      <c r="B265" s="33" t="s">
        <v>40</v>
      </c>
      <c r="C265" s="38" t="s">
        <v>135</v>
      </c>
      <c r="D265" s="38">
        <v>18</v>
      </c>
      <c r="E265" s="38"/>
      <c r="F265" s="38" t="s">
        <v>136</v>
      </c>
      <c r="G265" s="135">
        <v>3.8250000000000002</v>
      </c>
      <c r="H265" s="28" t="s">
        <v>14</v>
      </c>
      <c r="I265" s="44">
        <v>110000</v>
      </c>
      <c r="J265" s="35" t="s">
        <v>15</v>
      </c>
      <c r="K265" s="42"/>
      <c r="L265" s="37"/>
    </row>
    <row r="266" spans="2:12" s="18" customFormat="1" ht="18.75" customHeight="1" x14ac:dyDescent="0.3">
      <c r="B266" s="33" t="s">
        <v>40</v>
      </c>
      <c r="C266" s="38" t="s">
        <v>135</v>
      </c>
      <c r="D266" s="38">
        <v>20</v>
      </c>
      <c r="E266" s="38"/>
      <c r="F266" s="38" t="s">
        <v>137</v>
      </c>
      <c r="G266" s="135">
        <v>3.1709999999999998</v>
      </c>
      <c r="H266" s="28" t="s">
        <v>14</v>
      </c>
      <c r="I266" s="44">
        <v>110000</v>
      </c>
      <c r="J266" s="35" t="s">
        <v>15</v>
      </c>
      <c r="K266" s="42"/>
      <c r="L266" s="37"/>
    </row>
    <row r="267" spans="2:12" s="18" customFormat="1" ht="19.5" customHeight="1" x14ac:dyDescent="0.3">
      <c r="B267" s="33" t="s">
        <v>40</v>
      </c>
      <c r="C267" s="38" t="s">
        <v>135</v>
      </c>
      <c r="D267" s="38">
        <v>22</v>
      </c>
      <c r="E267" s="38"/>
      <c r="F267" s="38" t="s">
        <v>138</v>
      </c>
      <c r="G267" s="135">
        <v>3.31</v>
      </c>
      <c r="H267" s="28" t="s">
        <v>14</v>
      </c>
      <c r="I267" s="44">
        <v>110000</v>
      </c>
      <c r="J267" s="35" t="s">
        <v>15</v>
      </c>
      <c r="K267" s="42"/>
      <c r="L267" s="37"/>
    </row>
    <row r="268" spans="2:12" s="18" customFormat="1" ht="19.5" customHeight="1" x14ac:dyDescent="0.3">
      <c r="B268" s="33" t="s">
        <v>40</v>
      </c>
      <c r="C268" s="38" t="s">
        <v>135</v>
      </c>
      <c r="D268" s="38">
        <v>25</v>
      </c>
      <c r="E268" s="38"/>
      <c r="F268" s="38" t="s">
        <v>138</v>
      </c>
      <c r="G268" s="135">
        <v>2.375</v>
      </c>
      <c r="H268" s="28" t="s">
        <v>14</v>
      </c>
      <c r="I268" s="44">
        <v>110000</v>
      </c>
      <c r="J268" s="35" t="s">
        <v>15</v>
      </c>
      <c r="K268" s="42"/>
      <c r="L268" s="37"/>
    </row>
    <row r="269" spans="2:12" s="18" customFormat="1" ht="19.5" customHeight="1" x14ac:dyDescent="0.3">
      <c r="B269" s="33" t="s">
        <v>40</v>
      </c>
      <c r="C269" s="38" t="s">
        <v>135</v>
      </c>
      <c r="D269" s="38">
        <v>28</v>
      </c>
      <c r="E269" s="38"/>
      <c r="F269" s="38" t="s">
        <v>138</v>
      </c>
      <c r="G269" s="135">
        <v>1.6719999999999999</v>
      </c>
      <c r="H269" s="28" t="s">
        <v>14</v>
      </c>
      <c r="I269" s="44">
        <v>110000</v>
      </c>
      <c r="J269" s="35" t="s">
        <v>15</v>
      </c>
      <c r="K269" s="42"/>
      <c r="L269" s="37"/>
    </row>
    <row r="270" spans="2:12" s="18" customFormat="1" ht="19.5" customHeight="1" x14ac:dyDescent="0.3">
      <c r="B270" s="33" t="s">
        <v>40</v>
      </c>
      <c r="C270" s="38" t="s">
        <v>135</v>
      </c>
      <c r="D270" s="38">
        <v>30</v>
      </c>
      <c r="E270" s="38"/>
      <c r="F270" s="38" t="s">
        <v>139</v>
      </c>
      <c r="G270" s="135">
        <v>1.6439999999999999</v>
      </c>
      <c r="H270" s="28" t="s">
        <v>14</v>
      </c>
      <c r="I270" s="44">
        <v>110000</v>
      </c>
      <c r="J270" s="35" t="s">
        <v>15</v>
      </c>
      <c r="K270" s="42"/>
      <c r="L270" s="37"/>
    </row>
    <row r="271" spans="2:12" s="18" customFormat="1" ht="19.5" customHeight="1" x14ac:dyDescent="0.3">
      <c r="B271" s="33" t="s">
        <v>40</v>
      </c>
      <c r="C271" s="38" t="s">
        <v>135</v>
      </c>
      <c r="D271" s="38">
        <v>36</v>
      </c>
      <c r="E271" s="38"/>
      <c r="F271" s="38" t="s">
        <v>140</v>
      </c>
      <c r="G271" s="135">
        <v>0.25</v>
      </c>
      <c r="H271" s="28" t="s">
        <v>14</v>
      </c>
      <c r="I271" s="44">
        <v>108000</v>
      </c>
      <c r="J271" s="35" t="s">
        <v>15</v>
      </c>
      <c r="K271" s="42"/>
      <c r="L271" s="43"/>
    </row>
    <row r="272" spans="2:12" s="18" customFormat="1" ht="19.5" customHeight="1" x14ac:dyDescent="0.3">
      <c r="B272" s="33" t="s">
        <v>40</v>
      </c>
      <c r="C272" s="38" t="s">
        <v>135</v>
      </c>
      <c r="D272" s="38">
        <v>36</v>
      </c>
      <c r="E272" s="38"/>
      <c r="F272" s="38" t="s">
        <v>140</v>
      </c>
      <c r="G272" s="135">
        <v>1.45</v>
      </c>
      <c r="H272" s="28" t="s">
        <v>14</v>
      </c>
      <c r="I272" s="44">
        <v>108000</v>
      </c>
      <c r="J272" s="35" t="s">
        <v>15</v>
      </c>
      <c r="K272" s="42"/>
      <c r="L272" s="43"/>
    </row>
    <row r="273" spans="2:21" s="18" customFormat="1" ht="19.5" customHeight="1" x14ac:dyDescent="0.3">
      <c r="B273" s="33" t="s">
        <v>40</v>
      </c>
      <c r="C273" s="38" t="s">
        <v>135</v>
      </c>
      <c r="D273" s="38">
        <v>40</v>
      </c>
      <c r="E273" s="38"/>
      <c r="F273" s="38" t="s">
        <v>140</v>
      </c>
      <c r="G273" s="135">
        <v>2.7559999999999998</v>
      </c>
      <c r="H273" s="28" t="s">
        <v>14</v>
      </c>
      <c r="I273" s="44">
        <v>108000</v>
      </c>
      <c r="J273" s="35" t="s">
        <v>15</v>
      </c>
      <c r="K273" s="42"/>
      <c r="L273" s="43"/>
    </row>
    <row r="274" spans="2:21" s="18" customFormat="1" ht="19.5" customHeight="1" x14ac:dyDescent="0.3">
      <c r="B274" s="33" t="s">
        <v>40</v>
      </c>
      <c r="C274" s="38" t="s">
        <v>135</v>
      </c>
      <c r="D274" s="38">
        <v>45</v>
      </c>
      <c r="E274" s="38"/>
      <c r="F274" s="38" t="s">
        <v>141</v>
      </c>
      <c r="G274" s="135">
        <v>3.2000000000000001E-2</v>
      </c>
      <c r="H274" s="28" t="s">
        <v>14</v>
      </c>
      <c r="I274" s="44">
        <v>108000</v>
      </c>
      <c r="J274" s="35" t="s">
        <v>15</v>
      </c>
      <c r="K274" s="42"/>
      <c r="L274" s="43"/>
    </row>
    <row r="275" spans="2:21" s="18" customFormat="1" ht="19.5" customHeight="1" x14ac:dyDescent="0.3">
      <c r="B275" s="33" t="s">
        <v>40</v>
      </c>
      <c r="C275" s="38" t="s">
        <v>135</v>
      </c>
      <c r="D275" s="38">
        <v>50</v>
      </c>
      <c r="E275" s="38"/>
      <c r="F275" s="38" t="s">
        <v>141</v>
      </c>
      <c r="G275" s="135">
        <v>1.9910000000000001</v>
      </c>
      <c r="H275" s="28" t="s">
        <v>14</v>
      </c>
      <c r="I275" s="44">
        <v>108000</v>
      </c>
      <c r="J275" s="35" t="s">
        <v>15</v>
      </c>
      <c r="K275" s="42"/>
      <c r="L275" s="43"/>
    </row>
    <row r="276" spans="2:21" s="18" customFormat="1" ht="19.5" customHeight="1" x14ac:dyDescent="0.3">
      <c r="B276" s="33" t="s">
        <v>40</v>
      </c>
      <c r="C276" s="38" t="s">
        <v>135</v>
      </c>
      <c r="D276" s="38">
        <v>56</v>
      </c>
      <c r="E276" s="38"/>
      <c r="F276" s="38" t="s">
        <v>137</v>
      </c>
      <c r="G276" s="135">
        <v>3.76</v>
      </c>
      <c r="H276" s="28" t="s">
        <v>14</v>
      </c>
      <c r="I276" s="44">
        <v>108000</v>
      </c>
      <c r="J276" s="35" t="s">
        <v>15</v>
      </c>
      <c r="K276" s="42"/>
      <c r="L276" s="43"/>
    </row>
    <row r="277" spans="2:21" s="18" customFormat="1" ht="19.5" customHeight="1" x14ac:dyDescent="0.3">
      <c r="B277" s="33" t="s">
        <v>40</v>
      </c>
      <c r="C277" s="38" t="s">
        <v>135</v>
      </c>
      <c r="D277" s="38">
        <v>60</v>
      </c>
      <c r="E277" s="38"/>
      <c r="F277" s="38" t="s">
        <v>136</v>
      </c>
      <c r="G277" s="135">
        <v>2.5259999999999998</v>
      </c>
      <c r="H277" s="28" t="s">
        <v>14</v>
      </c>
      <c r="I277" s="44">
        <v>108000</v>
      </c>
      <c r="J277" s="35" t="s">
        <v>15</v>
      </c>
      <c r="K277" s="42"/>
      <c r="L277" s="43"/>
    </row>
    <row r="278" spans="2:21" s="18" customFormat="1" ht="19.5" customHeight="1" x14ac:dyDescent="0.3">
      <c r="B278" s="33" t="s">
        <v>40</v>
      </c>
      <c r="C278" s="38" t="s">
        <v>135</v>
      </c>
      <c r="D278" s="38">
        <v>70</v>
      </c>
      <c r="E278" s="38"/>
      <c r="F278" s="38" t="s">
        <v>140</v>
      </c>
      <c r="G278" s="135">
        <v>0.45100000000000001</v>
      </c>
      <c r="H278" s="28" t="s">
        <v>14</v>
      </c>
      <c r="I278" s="44">
        <v>108000</v>
      </c>
      <c r="J278" s="35" t="s">
        <v>15</v>
      </c>
      <c r="K278" s="69"/>
      <c r="L278" s="43"/>
    </row>
    <row r="279" spans="2:21" s="18" customFormat="1" ht="19.5" customHeight="1" x14ac:dyDescent="0.3">
      <c r="B279" s="33" t="s">
        <v>40</v>
      </c>
      <c r="C279" s="38" t="s">
        <v>135</v>
      </c>
      <c r="D279" s="38">
        <v>75</v>
      </c>
      <c r="E279" s="38"/>
      <c r="F279" s="38" t="s">
        <v>142</v>
      </c>
      <c r="G279" s="135">
        <v>21.472999999999999</v>
      </c>
      <c r="H279" s="28" t="s">
        <v>14</v>
      </c>
      <c r="I279" s="44">
        <v>106000</v>
      </c>
      <c r="J279" s="35" t="s">
        <v>15</v>
      </c>
      <c r="K279" s="42"/>
      <c r="L279" s="43"/>
    </row>
    <row r="280" spans="2:21" s="18" customFormat="1" ht="19.5" customHeight="1" x14ac:dyDescent="0.3">
      <c r="B280" s="33" t="s">
        <v>40</v>
      </c>
      <c r="C280" s="38" t="s">
        <v>135</v>
      </c>
      <c r="D280" s="38">
        <v>80</v>
      </c>
      <c r="E280" s="38"/>
      <c r="F280" s="38" t="s">
        <v>140</v>
      </c>
      <c r="G280" s="135">
        <v>0.95799999999999996</v>
      </c>
      <c r="H280" s="28" t="s">
        <v>14</v>
      </c>
      <c r="I280" s="44">
        <v>108000</v>
      </c>
      <c r="J280" s="35" t="s">
        <v>15</v>
      </c>
      <c r="K280" s="42" t="s">
        <v>92</v>
      </c>
      <c r="L280" s="43"/>
    </row>
    <row r="281" spans="2:21" s="18" customFormat="1" ht="19.5" customHeight="1" x14ac:dyDescent="0.3">
      <c r="B281" s="33" t="s">
        <v>40</v>
      </c>
      <c r="C281" s="38" t="s">
        <v>135</v>
      </c>
      <c r="D281" s="38">
        <v>90</v>
      </c>
      <c r="E281" s="38"/>
      <c r="F281" s="38" t="s">
        <v>143</v>
      </c>
      <c r="G281" s="135">
        <v>1.363</v>
      </c>
      <c r="H281" s="28" t="s">
        <v>14</v>
      </c>
      <c r="I281" s="44">
        <v>108000</v>
      </c>
      <c r="J281" s="35" t="s">
        <v>15</v>
      </c>
      <c r="K281" s="42"/>
      <c r="L281" s="43"/>
    </row>
    <row r="282" spans="2:21" s="18" customFormat="1" ht="20.25" customHeight="1" x14ac:dyDescent="0.3">
      <c r="B282" s="33" t="s">
        <v>40</v>
      </c>
      <c r="C282" s="38" t="s">
        <v>135</v>
      </c>
      <c r="D282" s="38">
        <v>100</v>
      </c>
      <c r="E282" s="38"/>
      <c r="F282" s="38" t="s">
        <v>143</v>
      </c>
      <c r="G282" s="135">
        <v>0.55600000000000005</v>
      </c>
      <c r="H282" s="28" t="s">
        <v>14</v>
      </c>
      <c r="I282" s="44">
        <v>108000</v>
      </c>
      <c r="J282" s="35" t="s">
        <v>15</v>
      </c>
      <c r="K282" s="42"/>
      <c r="L282" s="43"/>
    </row>
    <row r="283" spans="2:21" s="18" customFormat="1" ht="19.5" customHeight="1" x14ac:dyDescent="0.3">
      <c r="B283" s="33" t="s">
        <v>40</v>
      </c>
      <c r="C283" s="38" t="s">
        <v>135</v>
      </c>
      <c r="D283" s="38">
        <v>120</v>
      </c>
      <c r="E283" s="38"/>
      <c r="F283" s="38" t="s">
        <v>144</v>
      </c>
      <c r="G283" s="135">
        <v>0.90400000000000003</v>
      </c>
      <c r="H283" s="28" t="s">
        <v>14</v>
      </c>
      <c r="I283" s="44">
        <v>108000</v>
      </c>
      <c r="J283" s="35" t="s">
        <v>15</v>
      </c>
      <c r="K283" s="42"/>
      <c r="L283" s="43"/>
    </row>
    <row r="284" spans="2:21" s="21" customFormat="1" ht="19.5" customHeight="1" x14ac:dyDescent="0.3">
      <c r="B284" s="46" t="s">
        <v>40</v>
      </c>
      <c r="C284" s="47" t="s">
        <v>135</v>
      </c>
      <c r="D284" s="47">
        <v>130</v>
      </c>
      <c r="E284" s="47"/>
      <c r="F284" s="47" t="s">
        <v>145</v>
      </c>
      <c r="G284" s="136">
        <v>0.23</v>
      </c>
      <c r="H284" s="28" t="s">
        <v>14</v>
      </c>
      <c r="I284" s="50">
        <v>108000</v>
      </c>
      <c r="J284" s="68" t="s">
        <v>15</v>
      </c>
      <c r="K284" s="52"/>
      <c r="L284" s="43"/>
      <c r="M284" s="18"/>
      <c r="N284" s="18"/>
      <c r="O284" s="18"/>
      <c r="P284" s="18"/>
      <c r="Q284" s="18"/>
      <c r="R284" s="18"/>
      <c r="S284" s="18"/>
      <c r="T284" s="18"/>
      <c r="U284" s="18"/>
    </row>
    <row r="285" spans="2:21" s="18" customFormat="1" ht="19.5" customHeight="1" x14ac:dyDescent="0.3">
      <c r="B285" s="33" t="s">
        <v>40</v>
      </c>
      <c r="C285" s="38" t="s">
        <v>135</v>
      </c>
      <c r="D285" s="38">
        <v>160</v>
      </c>
      <c r="E285" s="38"/>
      <c r="F285" s="38" t="s">
        <v>146</v>
      </c>
      <c r="G285" s="135">
        <v>0.65800000000000003</v>
      </c>
      <c r="H285" s="28" t="s">
        <v>14</v>
      </c>
      <c r="I285" s="44">
        <v>108000</v>
      </c>
      <c r="J285" s="35" t="s">
        <v>15</v>
      </c>
      <c r="K285" s="42"/>
      <c r="L285" s="43"/>
    </row>
    <row r="286" spans="2:21" s="21" customFormat="1" ht="19.5" customHeight="1" x14ac:dyDescent="0.3">
      <c r="B286" s="46" t="s">
        <v>40</v>
      </c>
      <c r="C286" s="47" t="s">
        <v>135</v>
      </c>
      <c r="D286" s="47">
        <v>180</v>
      </c>
      <c r="E286" s="47"/>
      <c r="F286" s="47" t="s">
        <v>145</v>
      </c>
      <c r="G286" s="136">
        <v>3.6030000000000002</v>
      </c>
      <c r="H286" s="28" t="s">
        <v>14</v>
      </c>
      <c r="I286" s="50">
        <v>108000</v>
      </c>
      <c r="J286" s="68" t="s">
        <v>15</v>
      </c>
      <c r="K286" s="52"/>
      <c r="L286" s="43"/>
      <c r="M286" s="18"/>
      <c r="N286" s="18"/>
      <c r="O286" s="18"/>
      <c r="P286" s="18"/>
      <c r="Q286" s="18"/>
      <c r="R286" s="18"/>
      <c r="S286" s="18"/>
      <c r="T286" s="18"/>
      <c r="U286" s="18"/>
    </row>
    <row r="287" spans="2:21" s="18" customFormat="1" ht="19.5" customHeight="1" x14ac:dyDescent="0.3">
      <c r="B287" s="33" t="s">
        <v>147</v>
      </c>
      <c r="C287" s="38" t="s">
        <v>148</v>
      </c>
      <c r="D287" s="38">
        <v>200</v>
      </c>
      <c r="E287" s="38"/>
      <c r="F287" s="38"/>
      <c r="G287" s="135">
        <v>5.68</v>
      </c>
      <c r="H287" s="28" t="s">
        <v>14</v>
      </c>
      <c r="I287" s="44">
        <v>150000</v>
      </c>
      <c r="J287" s="35" t="s">
        <v>15</v>
      </c>
      <c r="K287" s="42"/>
      <c r="L287" s="43"/>
    </row>
    <row r="288" spans="2:21" s="18" customFormat="1" ht="19.5" customHeight="1" x14ac:dyDescent="0.3">
      <c r="B288" s="33" t="s">
        <v>40</v>
      </c>
      <c r="C288" s="38" t="s">
        <v>135</v>
      </c>
      <c r="D288" s="38">
        <v>210</v>
      </c>
      <c r="E288" s="38"/>
      <c r="F288" s="38"/>
      <c r="G288" s="135">
        <v>2.1680000000000001</v>
      </c>
      <c r="H288" s="28" t="s">
        <v>14</v>
      </c>
      <c r="I288" s="44">
        <v>120000</v>
      </c>
      <c r="J288" s="35" t="s">
        <v>15</v>
      </c>
      <c r="K288" s="42"/>
      <c r="L288" s="43"/>
    </row>
    <row r="289" spans="2:12" s="18" customFormat="1" ht="19.5" customHeight="1" x14ac:dyDescent="0.3">
      <c r="B289" s="33" t="s">
        <v>40</v>
      </c>
      <c r="C289" s="38" t="s">
        <v>135</v>
      </c>
      <c r="D289" s="38">
        <v>230</v>
      </c>
      <c r="E289" s="38"/>
      <c r="F289" s="38"/>
      <c r="G289" s="135">
        <v>2.319</v>
      </c>
      <c r="H289" s="28" t="s">
        <v>14</v>
      </c>
      <c r="I289" s="44">
        <v>130000</v>
      </c>
      <c r="J289" s="35" t="s">
        <v>15</v>
      </c>
      <c r="K289" s="42"/>
      <c r="L289" s="43"/>
    </row>
    <row r="290" spans="2:12" s="18" customFormat="1" ht="19.5" customHeight="1" x14ac:dyDescent="0.3">
      <c r="B290" s="33" t="s">
        <v>40</v>
      </c>
      <c r="C290" s="38" t="s">
        <v>135</v>
      </c>
      <c r="D290" s="38">
        <v>240</v>
      </c>
      <c r="E290" s="38"/>
      <c r="F290" s="38" t="s">
        <v>149</v>
      </c>
      <c r="G290" s="135">
        <v>10.587999999999999</v>
      </c>
      <c r="H290" s="28" t="s">
        <v>14</v>
      </c>
      <c r="I290" s="44">
        <v>125000</v>
      </c>
      <c r="J290" s="35" t="s">
        <v>15</v>
      </c>
      <c r="K290" s="42"/>
      <c r="L290" s="43"/>
    </row>
    <row r="291" spans="2:12" s="18" customFormat="1" ht="19.5" customHeight="1" x14ac:dyDescent="0.3">
      <c r="B291" s="33" t="s">
        <v>40</v>
      </c>
      <c r="C291" s="38" t="s">
        <v>135</v>
      </c>
      <c r="D291" s="38">
        <v>250</v>
      </c>
      <c r="E291" s="38"/>
      <c r="F291" s="38" t="s">
        <v>149</v>
      </c>
      <c r="G291" s="135">
        <v>7.2910000000000004</v>
      </c>
      <c r="H291" s="28" t="s">
        <v>14</v>
      </c>
      <c r="I291" s="44">
        <v>125000</v>
      </c>
      <c r="J291" s="35" t="s">
        <v>15</v>
      </c>
      <c r="K291" s="42"/>
      <c r="L291" s="43"/>
    </row>
    <row r="292" spans="2:12" s="18" customFormat="1" ht="19.5" customHeight="1" x14ac:dyDescent="0.3">
      <c r="B292" s="33" t="s">
        <v>40</v>
      </c>
      <c r="C292" s="38" t="s">
        <v>135</v>
      </c>
      <c r="D292" s="38">
        <v>280</v>
      </c>
      <c r="E292" s="38"/>
      <c r="F292" s="38"/>
      <c r="G292" s="135">
        <v>0.495</v>
      </c>
      <c r="H292" s="28" t="s">
        <v>14</v>
      </c>
      <c r="I292" s="44">
        <v>170000</v>
      </c>
      <c r="J292" s="35" t="s">
        <v>15</v>
      </c>
      <c r="K292" s="42"/>
      <c r="L292" s="43"/>
    </row>
    <row r="293" spans="2:12" s="18" customFormat="1" ht="19.5" customHeight="1" x14ac:dyDescent="0.3">
      <c r="B293" s="33" t="s">
        <v>40</v>
      </c>
      <c r="C293" s="38" t="s">
        <v>135</v>
      </c>
      <c r="D293" s="38">
        <v>290</v>
      </c>
      <c r="E293" s="38"/>
      <c r="F293" s="54" t="s">
        <v>150</v>
      </c>
      <c r="G293" s="135">
        <v>12.494999999999999</v>
      </c>
      <c r="H293" s="28" t="s">
        <v>14</v>
      </c>
      <c r="I293" s="44">
        <v>170000</v>
      </c>
      <c r="J293" s="35" t="s">
        <v>15</v>
      </c>
      <c r="K293" s="42"/>
      <c r="L293" s="43"/>
    </row>
    <row r="294" spans="2:12" s="18" customFormat="1" ht="19.5" customHeight="1" x14ac:dyDescent="0.3">
      <c r="B294" s="33" t="s">
        <v>40</v>
      </c>
      <c r="C294" s="38" t="s">
        <v>135</v>
      </c>
      <c r="D294" s="54">
        <v>300</v>
      </c>
      <c r="E294" s="54"/>
      <c r="F294" s="54"/>
      <c r="G294" s="135">
        <v>1.7470000000000001</v>
      </c>
      <c r="H294" s="28" t="s">
        <v>14</v>
      </c>
      <c r="I294" s="44">
        <v>220000</v>
      </c>
      <c r="J294" s="35" t="s">
        <v>15</v>
      </c>
      <c r="K294" s="42"/>
      <c r="L294" s="43"/>
    </row>
    <row r="295" spans="2:12" s="18" customFormat="1" ht="19.5" customHeight="1" x14ac:dyDescent="0.3">
      <c r="B295" s="33" t="s">
        <v>147</v>
      </c>
      <c r="C295" s="38" t="s">
        <v>135</v>
      </c>
      <c r="D295" s="54">
        <v>415</v>
      </c>
      <c r="E295" s="54"/>
      <c r="F295" s="54" t="s">
        <v>151</v>
      </c>
      <c r="G295" s="135">
        <v>0.23</v>
      </c>
      <c r="H295" s="28" t="s">
        <v>14</v>
      </c>
      <c r="I295" s="44">
        <v>230000</v>
      </c>
      <c r="J295" s="35" t="s">
        <v>15</v>
      </c>
      <c r="K295" s="42"/>
      <c r="L295" s="43"/>
    </row>
    <row r="296" spans="2:12" s="18" customFormat="1" ht="19.5" customHeight="1" x14ac:dyDescent="0.3">
      <c r="B296" s="33" t="s">
        <v>40</v>
      </c>
      <c r="C296" s="38" t="s">
        <v>152</v>
      </c>
      <c r="D296" s="38">
        <v>80</v>
      </c>
      <c r="E296" s="38"/>
      <c r="F296" s="38"/>
      <c r="G296" s="135">
        <v>0.14000000000000001</v>
      </c>
      <c r="H296" s="77" t="s">
        <v>20</v>
      </c>
      <c r="I296" s="44">
        <v>80000</v>
      </c>
      <c r="J296" s="35" t="s">
        <v>15</v>
      </c>
      <c r="K296" s="42"/>
      <c r="L296" s="43"/>
    </row>
    <row r="297" spans="2:12" s="18" customFormat="1" ht="19.5" customHeight="1" x14ac:dyDescent="0.3">
      <c r="B297" s="33" t="s">
        <v>40</v>
      </c>
      <c r="C297" s="38" t="s">
        <v>153</v>
      </c>
      <c r="D297" s="38">
        <v>20</v>
      </c>
      <c r="E297" s="38"/>
      <c r="F297" s="38" t="s">
        <v>154</v>
      </c>
      <c r="G297" s="135">
        <v>1.08</v>
      </c>
      <c r="H297" s="28" t="s">
        <v>14</v>
      </c>
      <c r="I297" s="41">
        <v>240000</v>
      </c>
      <c r="J297" s="35" t="s">
        <v>15</v>
      </c>
      <c r="K297" s="69"/>
      <c r="L297" s="43"/>
    </row>
    <row r="298" spans="2:12" s="18" customFormat="1" ht="19.5" customHeight="1" x14ac:dyDescent="0.3">
      <c r="B298" s="33" t="s">
        <v>40</v>
      </c>
      <c r="C298" s="38" t="s">
        <v>153</v>
      </c>
      <c r="D298" s="38">
        <v>22</v>
      </c>
      <c r="E298" s="38"/>
      <c r="F298" s="38" t="s">
        <v>155</v>
      </c>
      <c r="G298" s="135">
        <v>0.40400000000000003</v>
      </c>
      <c r="H298" s="28" t="s">
        <v>14</v>
      </c>
      <c r="I298" s="41">
        <v>240000</v>
      </c>
      <c r="J298" s="35" t="s">
        <v>15</v>
      </c>
      <c r="K298" s="69"/>
      <c r="L298" s="43"/>
    </row>
    <row r="299" spans="2:12" s="18" customFormat="1" ht="19.5" customHeight="1" x14ac:dyDescent="0.3">
      <c r="B299" s="33" t="s">
        <v>40</v>
      </c>
      <c r="C299" s="38" t="s">
        <v>153</v>
      </c>
      <c r="D299" s="38">
        <v>25</v>
      </c>
      <c r="E299" s="38"/>
      <c r="F299" s="38" t="s">
        <v>154</v>
      </c>
      <c r="G299" s="135">
        <v>2.61</v>
      </c>
      <c r="H299" s="28" t="s">
        <v>14</v>
      </c>
      <c r="I299" s="41">
        <v>230000</v>
      </c>
      <c r="J299" s="35" t="s">
        <v>15</v>
      </c>
      <c r="K299" s="69"/>
      <c r="L299" s="43"/>
    </row>
    <row r="300" spans="2:12" s="18" customFormat="1" ht="19.5" customHeight="1" x14ac:dyDescent="0.3">
      <c r="B300" s="46" t="s">
        <v>40</v>
      </c>
      <c r="C300" s="47" t="s">
        <v>153</v>
      </c>
      <c r="D300" s="47">
        <v>30</v>
      </c>
      <c r="E300" s="47"/>
      <c r="F300" s="47" t="s">
        <v>156</v>
      </c>
      <c r="G300" s="136">
        <v>2.77</v>
      </c>
      <c r="H300" s="28" t="s">
        <v>14</v>
      </c>
      <c r="I300" s="58">
        <v>240000</v>
      </c>
      <c r="J300" s="68" t="s">
        <v>15</v>
      </c>
      <c r="K300" s="69"/>
      <c r="L300" s="43"/>
    </row>
    <row r="301" spans="2:12" s="18" customFormat="1" ht="19.5" customHeight="1" x14ac:dyDescent="0.3">
      <c r="B301" s="33" t="s">
        <v>40</v>
      </c>
      <c r="C301" s="38" t="s">
        <v>153</v>
      </c>
      <c r="D301" s="38">
        <v>32</v>
      </c>
      <c r="E301" s="38"/>
      <c r="F301" s="38" t="s">
        <v>156</v>
      </c>
      <c r="G301" s="135">
        <v>1.8720000000000001</v>
      </c>
      <c r="H301" s="28" t="s">
        <v>14</v>
      </c>
      <c r="I301" s="41">
        <v>220000</v>
      </c>
      <c r="J301" s="35" t="s">
        <v>15</v>
      </c>
      <c r="K301" s="69"/>
      <c r="L301" s="43"/>
    </row>
    <row r="302" spans="2:12" s="18" customFormat="1" ht="19.5" customHeight="1" x14ac:dyDescent="0.3">
      <c r="B302" s="33" t="s">
        <v>40</v>
      </c>
      <c r="C302" s="38" t="s">
        <v>153</v>
      </c>
      <c r="D302" s="38">
        <v>34</v>
      </c>
      <c r="E302" s="38"/>
      <c r="F302" s="38" t="s">
        <v>156</v>
      </c>
      <c r="G302" s="135">
        <v>3.71</v>
      </c>
      <c r="H302" s="28" t="s">
        <v>14</v>
      </c>
      <c r="I302" s="41">
        <v>220000</v>
      </c>
      <c r="J302" s="35" t="s">
        <v>15</v>
      </c>
      <c r="K302" s="78"/>
      <c r="L302" s="43"/>
    </row>
    <row r="303" spans="2:12" s="18" customFormat="1" ht="19.5" customHeight="1" x14ac:dyDescent="0.3">
      <c r="B303" s="46" t="s">
        <v>40</v>
      </c>
      <c r="C303" s="47" t="s">
        <v>153</v>
      </c>
      <c r="D303" s="47">
        <v>36</v>
      </c>
      <c r="E303" s="47"/>
      <c r="F303" s="47"/>
      <c r="G303" s="136">
        <v>3.3889999999999998</v>
      </c>
      <c r="H303" s="28" t="s">
        <v>14</v>
      </c>
      <c r="I303" s="58">
        <v>220000</v>
      </c>
      <c r="J303" s="68" t="s">
        <v>15</v>
      </c>
      <c r="K303" s="78"/>
      <c r="L303" s="43"/>
    </row>
    <row r="304" spans="2:12" s="18" customFormat="1" ht="19.5" customHeight="1" x14ac:dyDescent="0.3">
      <c r="B304" s="46" t="s">
        <v>40</v>
      </c>
      <c r="C304" s="47" t="s">
        <v>153</v>
      </c>
      <c r="D304" s="47">
        <v>40</v>
      </c>
      <c r="E304" s="47"/>
      <c r="F304" s="47" t="s">
        <v>156</v>
      </c>
      <c r="G304" s="136">
        <v>2.8439999999999999</v>
      </c>
      <c r="H304" s="28" t="s">
        <v>14</v>
      </c>
      <c r="I304" s="58">
        <v>220000</v>
      </c>
      <c r="J304" s="68" t="s">
        <v>15</v>
      </c>
      <c r="K304" s="78"/>
      <c r="L304" s="43"/>
    </row>
    <row r="305" spans="2:21" s="21" customFormat="1" ht="19.5" customHeight="1" x14ac:dyDescent="0.3">
      <c r="B305" s="46" t="s">
        <v>40</v>
      </c>
      <c r="C305" s="47" t="s">
        <v>153</v>
      </c>
      <c r="D305" s="47">
        <v>40</v>
      </c>
      <c r="E305" s="47"/>
      <c r="F305" s="47" t="s">
        <v>157</v>
      </c>
      <c r="G305" s="136">
        <v>6.8360000000000003</v>
      </c>
      <c r="H305" s="28" t="s">
        <v>14</v>
      </c>
      <c r="I305" s="58">
        <v>220000</v>
      </c>
      <c r="J305" s="68" t="s">
        <v>15</v>
      </c>
      <c r="K305" s="59"/>
      <c r="L305" s="43"/>
      <c r="M305" s="18"/>
      <c r="N305" s="18"/>
      <c r="O305" s="18"/>
      <c r="P305" s="18"/>
      <c r="Q305" s="18"/>
      <c r="R305" s="18"/>
      <c r="S305" s="18"/>
      <c r="T305" s="18"/>
      <c r="U305" s="18"/>
    </row>
    <row r="306" spans="2:21" s="21" customFormat="1" ht="19.5" customHeight="1" x14ac:dyDescent="0.3">
      <c r="B306" s="46" t="s">
        <v>40</v>
      </c>
      <c r="C306" s="47" t="s">
        <v>153</v>
      </c>
      <c r="D306" s="47">
        <v>45</v>
      </c>
      <c r="E306" s="47"/>
      <c r="F306" s="47" t="s">
        <v>157</v>
      </c>
      <c r="G306" s="136">
        <v>1.5589999999999999</v>
      </c>
      <c r="H306" s="28" t="s">
        <v>14</v>
      </c>
      <c r="I306" s="58">
        <v>220000</v>
      </c>
      <c r="J306" s="68" t="s">
        <v>15</v>
      </c>
      <c r="K306" s="59"/>
      <c r="L306" s="43"/>
      <c r="M306" s="18"/>
      <c r="N306" s="18"/>
      <c r="O306" s="18"/>
      <c r="P306" s="18"/>
      <c r="Q306" s="18"/>
      <c r="R306" s="18"/>
      <c r="S306" s="18"/>
      <c r="T306" s="18"/>
      <c r="U306" s="18"/>
    </row>
    <row r="307" spans="2:21" s="21" customFormat="1" ht="19.5" customHeight="1" x14ac:dyDescent="0.3">
      <c r="B307" s="46" t="s">
        <v>40</v>
      </c>
      <c r="C307" s="47" t="s">
        <v>153</v>
      </c>
      <c r="D307" s="47">
        <v>50</v>
      </c>
      <c r="E307" s="47"/>
      <c r="F307" s="47" t="s">
        <v>157</v>
      </c>
      <c r="G307" s="136">
        <v>6.5830000000000002</v>
      </c>
      <c r="H307" s="28" t="s">
        <v>14</v>
      </c>
      <c r="I307" s="58">
        <v>220000</v>
      </c>
      <c r="J307" s="68" t="s">
        <v>15</v>
      </c>
      <c r="K307" s="59"/>
      <c r="L307" s="43"/>
      <c r="M307" s="18"/>
      <c r="N307" s="18"/>
      <c r="O307" s="18"/>
      <c r="P307" s="18"/>
      <c r="Q307" s="18"/>
      <c r="R307" s="18"/>
      <c r="S307" s="18"/>
      <c r="T307" s="18"/>
      <c r="U307" s="18"/>
    </row>
    <row r="308" spans="2:21" s="18" customFormat="1" ht="19.5" customHeight="1" x14ac:dyDescent="0.3">
      <c r="B308" s="33" t="s">
        <v>40</v>
      </c>
      <c r="C308" s="38" t="s">
        <v>153</v>
      </c>
      <c r="D308" s="38">
        <v>56</v>
      </c>
      <c r="E308" s="38"/>
      <c r="F308" s="38" t="s">
        <v>158</v>
      </c>
      <c r="G308" s="135">
        <v>0.17799999999999999</v>
      </c>
      <c r="H308" s="75" t="s">
        <v>159</v>
      </c>
      <c r="I308" s="41">
        <v>215000</v>
      </c>
      <c r="J308" s="35" t="s">
        <v>15</v>
      </c>
      <c r="K308" s="69"/>
      <c r="L308" s="43"/>
      <c r="M308" s="18" t="s">
        <v>92</v>
      </c>
    </row>
    <row r="309" spans="2:21" s="18" customFormat="1" ht="19.5" customHeight="1" x14ac:dyDescent="0.3">
      <c r="B309" s="46" t="s">
        <v>40</v>
      </c>
      <c r="C309" s="47" t="s">
        <v>153</v>
      </c>
      <c r="D309" s="47">
        <v>60</v>
      </c>
      <c r="E309" s="47"/>
      <c r="F309" s="47" t="s">
        <v>157</v>
      </c>
      <c r="G309" s="136">
        <v>4.6479999999999997</v>
      </c>
      <c r="H309" s="28" t="s">
        <v>14</v>
      </c>
      <c r="I309" s="58">
        <v>250000</v>
      </c>
      <c r="J309" s="68" t="s">
        <v>15</v>
      </c>
      <c r="K309" s="79"/>
      <c r="L309" s="43"/>
    </row>
    <row r="310" spans="2:21" s="18" customFormat="1" ht="19.5" customHeight="1" x14ac:dyDescent="0.3">
      <c r="B310" s="46" t="s">
        <v>40</v>
      </c>
      <c r="C310" s="47" t="s">
        <v>153</v>
      </c>
      <c r="D310" s="47">
        <v>70</v>
      </c>
      <c r="E310" s="47"/>
      <c r="F310" s="47" t="s">
        <v>160</v>
      </c>
      <c r="G310" s="49">
        <v>5.5250000000000004</v>
      </c>
      <c r="H310" s="28" t="s">
        <v>14</v>
      </c>
      <c r="I310" s="58">
        <v>250000</v>
      </c>
      <c r="J310" s="68" t="s">
        <v>15</v>
      </c>
      <c r="K310" s="79"/>
      <c r="L310" s="43"/>
    </row>
    <row r="311" spans="2:21" s="18" customFormat="1" ht="19.5" customHeight="1" x14ac:dyDescent="0.3">
      <c r="B311" s="46" t="s">
        <v>40</v>
      </c>
      <c r="C311" s="47" t="s">
        <v>153</v>
      </c>
      <c r="D311" s="47">
        <v>75</v>
      </c>
      <c r="E311" s="47"/>
      <c r="F311" s="47" t="s">
        <v>161</v>
      </c>
      <c r="G311" s="136">
        <v>5.3650000000000002</v>
      </c>
      <c r="H311" s="28" t="s">
        <v>14</v>
      </c>
      <c r="I311" s="58">
        <v>250000</v>
      </c>
      <c r="J311" s="68" t="s">
        <v>15</v>
      </c>
      <c r="K311" s="59"/>
      <c r="L311" s="43"/>
    </row>
    <row r="312" spans="2:21" s="18" customFormat="1" ht="19.5" customHeight="1" x14ac:dyDescent="0.3">
      <c r="B312" s="33" t="s">
        <v>40</v>
      </c>
      <c r="C312" s="38" t="s">
        <v>153</v>
      </c>
      <c r="D312" s="38">
        <v>75</v>
      </c>
      <c r="E312" s="38"/>
      <c r="F312" s="38" t="s">
        <v>162</v>
      </c>
      <c r="G312" s="135">
        <v>0.78400000000000003</v>
      </c>
      <c r="H312" s="28" t="s">
        <v>14</v>
      </c>
      <c r="I312" s="41">
        <v>240000</v>
      </c>
      <c r="J312" s="35" t="s">
        <v>15</v>
      </c>
      <c r="K312" s="79"/>
      <c r="L312" s="43"/>
    </row>
    <row r="313" spans="2:21" s="18" customFormat="1" ht="19.5" customHeight="1" x14ac:dyDescent="0.3">
      <c r="B313" s="46" t="s">
        <v>40</v>
      </c>
      <c r="C313" s="47" t="s">
        <v>153</v>
      </c>
      <c r="D313" s="47">
        <v>80</v>
      </c>
      <c r="E313" s="47"/>
      <c r="F313" s="47" t="s">
        <v>163</v>
      </c>
      <c r="G313" s="136">
        <v>4.8769999999999998</v>
      </c>
      <c r="H313" s="28" t="s">
        <v>14</v>
      </c>
      <c r="I313" s="58">
        <v>250000</v>
      </c>
      <c r="J313" s="68" t="s">
        <v>15</v>
      </c>
      <c r="K313" s="79"/>
      <c r="L313" s="43"/>
    </row>
    <row r="314" spans="2:21" s="18" customFormat="1" ht="19.5" customHeight="1" x14ac:dyDescent="0.3">
      <c r="B314" s="46" t="s">
        <v>40</v>
      </c>
      <c r="C314" s="47" t="s">
        <v>153</v>
      </c>
      <c r="D314" s="47">
        <v>90</v>
      </c>
      <c r="E314" s="47"/>
      <c r="F314" s="47" t="s">
        <v>157</v>
      </c>
      <c r="G314" s="136">
        <v>4.1790000000000003</v>
      </c>
      <c r="H314" s="28" t="s">
        <v>14</v>
      </c>
      <c r="I314" s="58">
        <v>250000</v>
      </c>
      <c r="J314" s="68" t="s">
        <v>15</v>
      </c>
      <c r="K314" s="80"/>
      <c r="L314" s="43"/>
    </row>
    <row r="315" spans="2:21" s="18" customFormat="1" ht="19.5" customHeight="1" x14ac:dyDescent="0.3">
      <c r="B315" s="46" t="s">
        <v>40</v>
      </c>
      <c r="C315" s="47" t="s">
        <v>153</v>
      </c>
      <c r="D315" s="47">
        <v>100</v>
      </c>
      <c r="E315" s="47"/>
      <c r="F315" s="47"/>
      <c r="G315" s="136">
        <v>1</v>
      </c>
      <c r="H315" s="28"/>
      <c r="I315" s="58"/>
      <c r="J315" s="72" t="s">
        <v>189</v>
      </c>
      <c r="K315" s="80"/>
      <c r="L315" s="43"/>
    </row>
    <row r="316" spans="2:21" s="18" customFormat="1" ht="19.5" customHeight="1" x14ac:dyDescent="0.3">
      <c r="B316" s="46" t="s">
        <v>40</v>
      </c>
      <c r="C316" s="47" t="s">
        <v>153</v>
      </c>
      <c r="D316" s="47">
        <v>100</v>
      </c>
      <c r="E316" s="47"/>
      <c r="F316" s="47" t="s">
        <v>164</v>
      </c>
      <c r="G316" s="136">
        <v>0.7</v>
      </c>
      <c r="H316" s="28" t="s">
        <v>14</v>
      </c>
      <c r="I316" s="58">
        <v>250000</v>
      </c>
      <c r="J316" s="46" t="s">
        <v>15</v>
      </c>
      <c r="K316" s="80"/>
      <c r="L316" s="43"/>
    </row>
    <row r="317" spans="2:21" s="18" customFormat="1" ht="19.5" customHeight="1" x14ac:dyDescent="0.3">
      <c r="B317" s="46" t="s">
        <v>40</v>
      </c>
      <c r="C317" s="47" t="s">
        <v>153</v>
      </c>
      <c r="D317" s="47">
        <v>100</v>
      </c>
      <c r="E317" s="47"/>
      <c r="F317" s="47" t="s">
        <v>160</v>
      </c>
      <c r="G317" s="136">
        <v>1.825</v>
      </c>
      <c r="H317" s="28" t="s">
        <v>14</v>
      </c>
      <c r="I317" s="58">
        <v>250000</v>
      </c>
      <c r="J317" s="68" t="s">
        <v>15</v>
      </c>
      <c r="K317" s="80"/>
      <c r="L317" s="43"/>
    </row>
    <row r="318" spans="2:21" s="18" customFormat="1" ht="19.5" customHeight="1" x14ac:dyDescent="0.3">
      <c r="B318" s="33" t="s">
        <v>40</v>
      </c>
      <c r="C318" s="38" t="s">
        <v>153</v>
      </c>
      <c r="D318" s="38">
        <v>100</v>
      </c>
      <c r="E318" s="38"/>
      <c r="F318" s="38" t="s">
        <v>162</v>
      </c>
      <c r="G318" s="135">
        <v>5.8999999999999997E-2</v>
      </c>
      <c r="H318" s="28" t="s">
        <v>14</v>
      </c>
      <c r="I318" s="41">
        <v>240000</v>
      </c>
      <c r="J318" s="35" t="s">
        <v>15</v>
      </c>
      <c r="K318" s="79"/>
      <c r="L318" s="43"/>
    </row>
    <row r="319" spans="2:21" s="18" customFormat="1" ht="19.5" customHeight="1" x14ac:dyDescent="0.3">
      <c r="B319" s="46" t="s">
        <v>40</v>
      </c>
      <c r="C319" s="47" t="s">
        <v>153</v>
      </c>
      <c r="D319" s="47">
        <v>110</v>
      </c>
      <c r="E319" s="47"/>
      <c r="F319" s="47" t="s">
        <v>165</v>
      </c>
      <c r="G319" s="136">
        <v>2.5249999999999999</v>
      </c>
      <c r="H319" s="28" t="s">
        <v>14</v>
      </c>
      <c r="I319" s="58"/>
      <c r="J319" s="68" t="s">
        <v>166</v>
      </c>
      <c r="K319" s="79"/>
      <c r="L319" s="43"/>
    </row>
    <row r="320" spans="2:21" s="18" customFormat="1" ht="19.5" customHeight="1" x14ac:dyDescent="0.3">
      <c r="B320" s="33" t="s">
        <v>40</v>
      </c>
      <c r="C320" s="38" t="s">
        <v>153</v>
      </c>
      <c r="D320" s="38">
        <v>110</v>
      </c>
      <c r="E320" s="38"/>
      <c r="F320" s="38" t="s">
        <v>167</v>
      </c>
      <c r="G320" s="135">
        <v>1.5</v>
      </c>
      <c r="H320" s="28" t="s">
        <v>14</v>
      </c>
      <c r="I320" s="41">
        <v>220000</v>
      </c>
      <c r="J320" s="35" t="s">
        <v>15</v>
      </c>
      <c r="K320" s="79"/>
      <c r="L320" s="43"/>
    </row>
    <row r="321" spans="2:68" s="18" customFormat="1" ht="19.5" customHeight="1" x14ac:dyDescent="0.3">
      <c r="B321" s="46" t="s">
        <v>40</v>
      </c>
      <c r="C321" s="47" t="s">
        <v>153</v>
      </c>
      <c r="D321" s="47">
        <v>120</v>
      </c>
      <c r="E321" s="47"/>
      <c r="F321" s="47" t="s">
        <v>165</v>
      </c>
      <c r="G321" s="136">
        <v>2.5099999999999998</v>
      </c>
      <c r="H321" s="28" t="s">
        <v>14</v>
      </c>
      <c r="I321" s="58"/>
      <c r="J321" s="68" t="s">
        <v>166</v>
      </c>
      <c r="K321" s="52"/>
      <c r="L321" s="43"/>
    </row>
    <row r="322" spans="2:68" s="18" customFormat="1" ht="19.5" customHeight="1" x14ac:dyDescent="0.3">
      <c r="B322" s="33" t="s">
        <v>40</v>
      </c>
      <c r="C322" s="38" t="s">
        <v>153</v>
      </c>
      <c r="D322" s="38">
        <v>120</v>
      </c>
      <c r="E322" s="38"/>
      <c r="F322" s="38" t="s">
        <v>168</v>
      </c>
      <c r="G322" s="135">
        <v>4.3680000000000003</v>
      </c>
      <c r="H322" s="28" t="s">
        <v>14</v>
      </c>
      <c r="I322" s="41">
        <v>250000</v>
      </c>
      <c r="J322" s="35" t="s">
        <v>15</v>
      </c>
      <c r="K322" s="52"/>
      <c r="L322" s="4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</row>
    <row r="323" spans="2:68" s="23" customFormat="1" ht="19.5" customHeight="1" x14ac:dyDescent="0.3">
      <c r="B323" s="33" t="s">
        <v>40</v>
      </c>
      <c r="C323" s="38" t="s">
        <v>153</v>
      </c>
      <c r="D323" s="38">
        <v>130</v>
      </c>
      <c r="E323" s="38"/>
      <c r="F323" s="38" t="s">
        <v>169</v>
      </c>
      <c r="G323" s="135">
        <v>0.129</v>
      </c>
      <c r="H323" s="28" t="s">
        <v>14</v>
      </c>
      <c r="I323" s="41">
        <v>250000</v>
      </c>
      <c r="J323" s="35" t="s">
        <v>15</v>
      </c>
      <c r="K323" s="52"/>
      <c r="L323" s="43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</row>
    <row r="324" spans="2:68" s="23" customFormat="1" ht="19.5" customHeight="1" x14ac:dyDescent="0.3">
      <c r="B324" s="46" t="s">
        <v>40</v>
      </c>
      <c r="C324" s="47" t="s">
        <v>153</v>
      </c>
      <c r="D324" s="47">
        <v>130</v>
      </c>
      <c r="E324" s="47"/>
      <c r="F324" s="47" t="s">
        <v>170</v>
      </c>
      <c r="G324" s="136">
        <v>2.488</v>
      </c>
      <c r="H324" s="28" t="s">
        <v>14</v>
      </c>
      <c r="I324" s="58">
        <v>250000</v>
      </c>
      <c r="J324" s="46" t="s">
        <v>15</v>
      </c>
      <c r="K324" s="59"/>
      <c r="L324" s="43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</row>
    <row r="325" spans="2:68" s="18" customFormat="1" ht="19.5" customHeight="1" x14ac:dyDescent="0.3">
      <c r="B325" s="33" t="s">
        <v>40</v>
      </c>
      <c r="C325" s="38" t="s">
        <v>153</v>
      </c>
      <c r="D325" s="38">
        <v>135</v>
      </c>
      <c r="E325" s="38"/>
      <c r="F325" s="38" t="s">
        <v>171</v>
      </c>
      <c r="G325" s="135">
        <v>0.97399999999999998</v>
      </c>
      <c r="H325" s="28" t="s">
        <v>14</v>
      </c>
      <c r="I325" s="41">
        <v>220000</v>
      </c>
      <c r="J325" s="35" t="s">
        <v>15</v>
      </c>
      <c r="K325" s="52"/>
      <c r="L325" s="43"/>
    </row>
    <row r="326" spans="2:68" s="18" customFormat="1" ht="19.5" customHeight="1" x14ac:dyDescent="0.3">
      <c r="B326" s="33" t="s">
        <v>40</v>
      </c>
      <c r="C326" s="38" t="s">
        <v>153</v>
      </c>
      <c r="D326" s="38">
        <v>140</v>
      </c>
      <c r="E326" s="38"/>
      <c r="F326" s="38" t="s">
        <v>172</v>
      </c>
      <c r="G326" s="135">
        <v>4.8540000000000001</v>
      </c>
      <c r="H326" s="28" t="s">
        <v>14</v>
      </c>
      <c r="I326" s="41">
        <v>220000</v>
      </c>
      <c r="J326" s="35" t="s">
        <v>15</v>
      </c>
      <c r="K326" s="42"/>
      <c r="L326" s="43"/>
    </row>
    <row r="327" spans="2:68" s="18" customFormat="1" ht="19.5" customHeight="1" x14ac:dyDescent="0.3">
      <c r="B327" s="33" t="s">
        <v>40</v>
      </c>
      <c r="C327" s="38" t="s">
        <v>153</v>
      </c>
      <c r="D327" s="38">
        <v>150</v>
      </c>
      <c r="E327" s="38"/>
      <c r="F327" s="38" t="s">
        <v>169</v>
      </c>
      <c r="G327" s="135">
        <v>16.184999999999999</v>
      </c>
      <c r="H327" s="28" t="s">
        <v>14</v>
      </c>
      <c r="I327" s="41">
        <v>220000</v>
      </c>
      <c r="J327" s="35" t="s">
        <v>15</v>
      </c>
      <c r="K327" s="42"/>
      <c r="L327" s="43"/>
    </row>
    <row r="328" spans="2:68" s="18" customFormat="1" ht="19.5" customHeight="1" x14ac:dyDescent="0.3">
      <c r="B328" s="46" t="s">
        <v>40</v>
      </c>
      <c r="C328" s="47" t="s">
        <v>153</v>
      </c>
      <c r="D328" s="47">
        <v>160</v>
      </c>
      <c r="E328" s="47"/>
      <c r="F328" s="47" t="s">
        <v>170</v>
      </c>
      <c r="G328" s="136">
        <v>5.71</v>
      </c>
      <c r="H328" s="28" t="s">
        <v>14</v>
      </c>
      <c r="I328" s="58">
        <v>250000</v>
      </c>
      <c r="J328" s="46" t="s">
        <v>15</v>
      </c>
      <c r="K328" s="59"/>
      <c r="L328" s="43"/>
    </row>
    <row r="329" spans="2:68" s="18" customFormat="1" ht="19.5" customHeight="1" x14ac:dyDescent="0.3">
      <c r="B329" s="46" t="s">
        <v>40</v>
      </c>
      <c r="C329" s="47" t="s">
        <v>153</v>
      </c>
      <c r="D329" s="47">
        <v>170</v>
      </c>
      <c r="E329" s="47"/>
      <c r="F329" s="47" t="s">
        <v>161</v>
      </c>
      <c r="G329" s="136">
        <v>1.054</v>
      </c>
      <c r="H329" s="28" t="s">
        <v>14</v>
      </c>
      <c r="I329" s="58">
        <v>250000</v>
      </c>
      <c r="J329" s="46" t="s">
        <v>15</v>
      </c>
      <c r="K329" s="59"/>
      <c r="L329" s="43"/>
    </row>
    <row r="330" spans="2:68" s="18" customFormat="1" ht="19.5" customHeight="1" x14ac:dyDescent="0.3">
      <c r="B330" s="46" t="s">
        <v>40</v>
      </c>
      <c r="C330" s="47" t="s">
        <v>153</v>
      </c>
      <c r="D330" s="47">
        <v>180</v>
      </c>
      <c r="E330" s="47"/>
      <c r="F330" s="47" t="s">
        <v>165</v>
      </c>
      <c r="G330" s="136">
        <v>3.09</v>
      </c>
      <c r="H330" s="28" t="s">
        <v>14</v>
      </c>
      <c r="I330" s="58">
        <v>250000</v>
      </c>
      <c r="J330" s="46" t="s">
        <v>15</v>
      </c>
      <c r="K330" s="59"/>
      <c r="L330" s="43"/>
    </row>
    <row r="331" spans="2:68" s="18" customFormat="1" ht="18.75" customHeight="1" x14ac:dyDescent="0.3">
      <c r="B331" s="46" t="s">
        <v>40</v>
      </c>
      <c r="C331" s="47" t="s">
        <v>153</v>
      </c>
      <c r="D331" s="47">
        <v>180</v>
      </c>
      <c r="E331" s="47"/>
      <c r="F331" s="47" t="s">
        <v>161</v>
      </c>
      <c r="G331" s="136">
        <v>4.0979999999999999</v>
      </c>
      <c r="H331" s="28" t="s">
        <v>14</v>
      </c>
      <c r="I331" s="58">
        <v>250000</v>
      </c>
      <c r="J331" s="46" t="s">
        <v>15</v>
      </c>
      <c r="K331" s="81"/>
      <c r="L331" s="3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  <c r="BH331" s="27"/>
      <c r="BI331" s="27"/>
      <c r="BJ331" s="27"/>
      <c r="BK331" s="27"/>
      <c r="BL331" s="27"/>
      <c r="BM331" s="27"/>
      <c r="BN331" s="27"/>
      <c r="BO331" s="27"/>
      <c r="BP331" s="27"/>
    </row>
    <row r="332" spans="2:68" s="18" customFormat="1" ht="18.75" customHeight="1" x14ac:dyDescent="0.3">
      <c r="B332" s="46" t="s">
        <v>40</v>
      </c>
      <c r="C332" s="47" t="s">
        <v>153</v>
      </c>
      <c r="D332" s="47">
        <v>190</v>
      </c>
      <c r="E332" s="47"/>
      <c r="F332" s="47" t="s">
        <v>173</v>
      </c>
      <c r="G332" s="136">
        <v>0.9</v>
      </c>
      <c r="H332" s="28" t="s">
        <v>14</v>
      </c>
      <c r="I332" s="58">
        <v>250000</v>
      </c>
      <c r="J332" s="46" t="s">
        <v>15</v>
      </c>
      <c r="K332" s="81"/>
      <c r="L332" s="3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  <c r="BH332" s="27"/>
      <c r="BI332" s="27"/>
      <c r="BJ332" s="27"/>
      <c r="BK332" s="27"/>
      <c r="BL332" s="27"/>
      <c r="BM332" s="27"/>
      <c r="BN332" s="27"/>
      <c r="BO332" s="27"/>
      <c r="BP332" s="27"/>
    </row>
    <row r="333" spans="2:68" s="18" customFormat="1" ht="18.75" customHeight="1" x14ac:dyDescent="0.3">
      <c r="B333" s="46" t="s">
        <v>40</v>
      </c>
      <c r="C333" s="47" t="s">
        <v>153</v>
      </c>
      <c r="D333" s="47">
        <v>200</v>
      </c>
      <c r="E333" s="47"/>
      <c r="F333" s="47" t="s">
        <v>165</v>
      </c>
      <c r="G333" s="136">
        <v>5.181</v>
      </c>
      <c r="H333" s="28" t="s">
        <v>14</v>
      </c>
      <c r="I333" s="58">
        <v>250000</v>
      </c>
      <c r="J333" s="46" t="s">
        <v>15</v>
      </c>
      <c r="K333" s="81"/>
      <c r="L333" s="3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  <c r="BH333" s="27"/>
      <c r="BI333" s="27"/>
      <c r="BJ333" s="27"/>
      <c r="BK333" s="27"/>
      <c r="BL333" s="27"/>
      <c r="BM333" s="27"/>
      <c r="BN333" s="27"/>
      <c r="BO333" s="27"/>
      <c r="BP333" s="27"/>
    </row>
    <row r="334" spans="2:68" s="18" customFormat="1" ht="18.75" customHeight="1" x14ac:dyDescent="0.3">
      <c r="B334" s="46" t="s">
        <v>40</v>
      </c>
      <c r="C334" s="47" t="s">
        <v>153</v>
      </c>
      <c r="D334" s="47">
        <v>210</v>
      </c>
      <c r="E334" s="47"/>
      <c r="F334" s="47" t="s">
        <v>388</v>
      </c>
      <c r="G334" s="136">
        <v>8</v>
      </c>
      <c r="H334" s="28" t="s">
        <v>14</v>
      </c>
      <c r="I334" s="58"/>
      <c r="J334" s="46" t="s">
        <v>189</v>
      </c>
      <c r="K334" s="59"/>
      <c r="L334" s="3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  <c r="BH334" s="27"/>
      <c r="BI334" s="27"/>
      <c r="BJ334" s="27"/>
      <c r="BK334" s="27"/>
      <c r="BL334" s="27"/>
      <c r="BM334" s="27"/>
      <c r="BN334" s="27"/>
      <c r="BO334" s="27"/>
      <c r="BP334" s="27"/>
    </row>
    <row r="335" spans="2:68" ht="18.75" customHeight="1" x14ac:dyDescent="0.3">
      <c r="B335" s="46" t="s">
        <v>40</v>
      </c>
      <c r="C335" s="47" t="s">
        <v>153</v>
      </c>
      <c r="D335" s="47">
        <v>220</v>
      </c>
      <c r="E335" s="47"/>
      <c r="F335" s="47" t="s">
        <v>161</v>
      </c>
      <c r="G335" s="136">
        <v>5</v>
      </c>
      <c r="H335" s="28" t="s">
        <v>14</v>
      </c>
      <c r="I335" s="58">
        <v>250000</v>
      </c>
      <c r="J335" s="46" t="s">
        <v>189</v>
      </c>
      <c r="K335" s="82"/>
      <c r="L335" s="83"/>
    </row>
    <row r="336" spans="2:68" ht="18.75" customHeight="1" x14ac:dyDescent="0.3">
      <c r="B336" s="61" t="s">
        <v>40</v>
      </c>
      <c r="C336" s="56" t="s">
        <v>153</v>
      </c>
      <c r="D336" s="56">
        <v>230</v>
      </c>
      <c r="E336" s="56"/>
      <c r="F336" s="56" t="s">
        <v>174</v>
      </c>
      <c r="G336" s="136">
        <v>3.3690000000000002</v>
      </c>
      <c r="H336" s="28" t="s">
        <v>14</v>
      </c>
      <c r="I336" s="58">
        <v>250000</v>
      </c>
      <c r="J336" s="68" t="s">
        <v>15</v>
      </c>
      <c r="K336" s="59"/>
      <c r="L336" s="83"/>
    </row>
    <row r="337" spans="2:12" ht="18.75" customHeight="1" x14ac:dyDescent="0.3">
      <c r="B337" s="46" t="s">
        <v>40</v>
      </c>
      <c r="C337" s="47" t="s">
        <v>153</v>
      </c>
      <c r="D337" s="47">
        <v>240</v>
      </c>
      <c r="E337" s="47"/>
      <c r="F337" s="47" t="s">
        <v>175</v>
      </c>
      <c r="G337" s="136">
        <v>7.5410000000000004</v>
      </c>
      <c r="H337" s="28" t="s">
        <v>14</v>
      </c>
      <c r="I337" s="58">
        <v>270000</v>
      </c>
      <c r="J337" s="46" t="s">
        <v>15</v>
      </c>
      <c r="K337" s="59"/>
      <c r="L337" s="83"/>
    </row>
    <row r="338" spans="2:12" ht="18.75" customHeight="1" x14ac:dyDescent="0.3">
      <c r="B338" s="46" t="s">
        <v>40</v>
      </c>
      <c r="C338" s="47" t="s">
        <v>153</v>
      </c>
      <c r="D338" s="47">
        <v>250</v>
      </c>
      <c r="E338" s="47"/>
      <c r="F338" s="47" t="s">
        <v>176</v>
      </c>
      <c r="G338" s="136">
        <v>6.8040000000000003</v>
      </c>
      <c r="H338" s="28" t="s">
        <v>14</v>
      </c>
      <c r="I338" s="58">
        <v>270000</v>
      </c>
      <c r="J338" s="46" t="s">
        <v>15</v>
      </c>
      <c r="K338" s="59"/>
      <c r="L338" s="83"/>
    </row>
    <row r="339" spans="2:12" ht="18.75" customHeight="1" x14ac:dyDescent="0.3">
      <c r="B339" s="46" t="s">
        <v>40</v>
      </c>
      <c r="C339" s="47" t="s">
        <v>153</v>
      </c>
      <c r="D339" s="47">
        <v>270</v>
      </c>
      <c r="E339" s="47"/>
      <c r="F339" s="47"/>
      <c r="G339" s="136">
        <v>4</v>
      </c>
      <c r="H339" s="28" t="s">
        <v>14</v>
      </c>
      <c r="I339" s="58"/>
      <c r="J339" s="46" t="s">
        <v>189</v>
      </c>
      <c r="K339" s="59"/>
      <c r="L339" s="83"/>
    </row>
    <row r="340" spans="2:12" ht="18.75" customHeight="1" x14ac:dyDescent="0.3">
      <c r="B340" s="46" t="s">
        <v>40</v>
      </c>
      <c r="C340" s="47" t="s">
        <v>153</v>
      </c>
      <c r="D340" s="47">
        <v>280</v>
      </c>
      <c r="E340" s="47"/>
      <c r="F340" s="47" t="s">
        <v>177</v>
      </c>
      <c r="G340" s="136">
        <v>5</v>
      </c>
      <c r="H340" s="28" t="s">
        <v>14</v>
      </c>
      <c r="I340" s="58"/>
      <c r="J340" s="46" t="s">
        <v>189</v>
      </c>
      <c r="K340" s="59"/>
      <c r="L340" s="83"/>
    </row>
    <row r="341" spans="2:12" ht="18.75" customHeight="1" x14ac:dyDescent="0.3">
      <c r="B341" s="46" t="s">
        <v>40</v>
      </c>
      <c r="C341" s="47" t="s">
        <v>153</v>
      </c>
      <c r="D341" s="47">
        <v>280</v>
      </c>
      <c r="E341" s="47"/>
      <c r="F341" s="47" t="s">
        <v>177</v>
      </c>
      <c r="G341" s="136">
        <v>0.65300000000000002</v>
      </c>
      <c r="H341" s="28" t="s">
        <v>14</v>
      </c>
      <c r="I341" s="58">
        <v>270000</v>
      </c>
      <c r="J341" s="46" t="s">
        <v>15</v>
      </c>
      <c r="K341" s="59"/>
      <c r="L341" s="37"/>
    </row>
    <row r="342" spans="2:12" ht="18.75" customHeight="1" x14ac:dyDescent="0.3">
      <c r="B342" s="33" t="s">
        <v>40</v>
      </c>
      <c r="C342" s="38" t="s">
        <v>153</v>
      </c>
      <c r="D342" s="38">
        <v>300</v>
      </c>
      <c r="E342" s="38"/>
      <c r="F342" s="38" t="s">
        <v>178</v>
      </c>
      <c r="G342" s="135">
        <v>0.58799999999999997</v>
      </c>
      <c r="H342" s="28" t="s">
        <v>14</v>
      </c>
      <c r="I342" s="41">
        <v>280000</v>
      </c>
      <c r="J342" s="35" t="s">
        <v>15</v>
      </c>
      <c r="K342" s="42"/>
      <c r="L342" s="43"/>
    </row>
    <row r="343" spans="2:12" ht="18.75" customHeight="1" x14ac:dyDescent="0.3">
      <c r="B343" s="33" t="s">
        <v>40</v>
      </c>
      <c r="C343" s="38" t="s">
        <v>153</v>
      </c>
      <c r="D343" s="38">
        <v>310</v>
      </c>
      <c r="E343" s="38"/>
      <c r="F343" s="38" t="s">
        <v>179</v>
      </c>
      <c r="G343" s="135">
        <v>6.0449999999999999</v>
      </c>
      <c r="H343" s="28" t="s">
        <v>14</v>
      </c>
      <c r="I343" s="41">
        <v>280000</v>
      </c>
      <c r="J343" s="35" t="s">
        <v>15</v>
      </c>
      <c r="K343" s="42"/>
      <c r="L343" s="43"/>
    </row>
    <row r="344" spans="2:12" ht="18.75" customHeight="1" x14ac:dyDescent="0.3">
      <c r="B344" s="33" t="s">
        <v>40</v>
      </c>
      <c r="C344" s="38" t="s">
        <v>153</v>
      </c>
      <c r="D344" s="38">
        <v>310</v>
      </c>
      <c r="E344" s="38"/>
      <c r="F344" s="38" t="s">
        <v>178</v>
      </c>
      <c r="G344" s="135">
        <v>5.548</v>
      </c>
      <c r="H344" s="28" t="s">
        <v>14</v>
      </c>
      <c r="I344" s="41">
        <v>280000</v>
      </c>
      <c r="J344" s="35" t="s">
        <v>15</v>
      </c>
      <c r="K344" s="42"/>
      <c r="L344" s="43"/>
    </row>
    <row r="345" spans="2:12" s="17" customFormat="1" ht="18.75" customHeight="1" x14ac:dyDescent="0.3">
      <c r="B345" s="33" t="s">
        <v>40</v>
      </c>
      <c r="C345" s="38" t="s">
        <v>153</v>
      </c>
      <c r="D345" s="38">
        <v>340</v>
      </c>
      <c r="E345" s="38"/>
      <c r="F345" s="38" t="s">
        <v>180</v>
      </c>
      <c r="G345" s="135">
        <v>7.218</v>
      </c>
      <c r="H345" s="28" t="s">
        <v>14</v>
      </c>
      <c r="I345" s="41">
        <v>280000</v>
      </c>
      <c r="J345" s="35" t="s">
        <v>15</v>
      </c>
      <c r="K345" s="52"/>
      <c r="L345" s="37"/>
    </row>
    <row r="346" spans="2:12" ht="18.75" customHeight="1" x14ac:dyDescent="0.3">
      <c r="B346" s="33" t="s">
        <v>40</v>
      </c>
      <c r="C346" s="38" t="s">
        <v>153</v>
      </c>
      <c r="D346" s="38">
        <v>350</v>
      </c>
      <c r="E346" s="38"/>
      <c r="F346" s="38" t="s">
        <v>180</v>
      </c>
      <c r="G346" s="135">
        <v>4.9720000000000004</v>
      </c>
      <c r="H346" s="28" t="s">
        <v>14</v>
      </c>
      <c r="I346" s="41">
        <v>280000</v>
      </c>
      <c r="J346" s="35" t="s">
        <v>15</v>
      </c>
      <c r="K346" s="42"/>
      <c r="L346" s="43"/>
    </row>
    <row r="347" spans="2:12" ht="18.75" customHeight="1" x14ac:dyDescent="0.3">
      <c r="B347" s="33" t="s">
        <v>40</v>
      </c>
      <c r="C347" s="38" t="s">
        <v>153</v>
      </c>
      <c r="D347" s="38">
        <v>350</v>
      </c>
      <c r="E347" s="38"/>
      <c r="F347" s="38" t="s">
        <v>180</v>
      </c>
      <c r="G347" s="135">
        <v>5.3380000000000001</v>
      </c>
      <c r="H347" s="28" t="s">
        <v>14</v>
      </c>
      <c r="I347" s="41">
        <v>280000</v>
      </c>
      <c r="J347" s="35" t="s">
        <v>15</v>
      </c>
      <c r="K347" s="42"/>
      <c r="L347" s="43"/>
    </row>
    <row r="348" spans="2:12" ht="18.75" customHeight="1" x14ac:dyDescent="0.3">
      <c r="B348" s="33" t="s">
        <v>40</v>
      </c>
      <c r="C348" s="38" t="s">
        <v>181</v>
      </c>
      <c r="D348" s="38">
        <v>38</v>
      </c>
      <c r="E348" s="38"/>
      <c r="F348" s="38"/>
      <c r="G348" s="135">
        <v>6.0999999999999999E-2</v>
      </c>
      <c r="H348" s="45"/>
      <c r="I348" s="41">
        <v>140000</v>
      </c>
      <c r="J348" s="35" t="s">
        <v>15</v>
      </c>
      <c r="K348" s="42"/>
      <c r="L348" s="43"/>
    </row>
    <row r="349" spans="2:12" ht="18.75" customHeight="1" x14ac:dyDescent="0.3">
      <c r="B349" s="33" t="s">
        <v>40</v>
      </c>
      <c r="C349" s="38" t="s">
        <v>181</v>
      </c>
      <c r="D349" s="38">
        <v>65</v>
      </c>
      <c r="E349" s="38"/>
      <c r="F349" s="38"/>
      <c r="G349" s="135">
        <v>9.1999999999999998E-2</v>
      </c>
      <c r="H349" s="45" t="s">
        <v>159</v>
      </c>
      <c r="I349" s="41">
        <v>140000</v>
      </c>
      <c r="J349" s="35" t="s">
        <v>15</v>
      </c>
      <c r="K349" s="42"/>
      <c r="L349" s="43"/>
    </row>
    <row r="350" spans="2:12" ht="18.75" customHeight="1" x14ac:dyDescent="0.3">
      <c r="B350" s="33" t="s">
        <v>40</v>
      </c>
      <c r="C350" s="38" t="s">
        <v>181</v>
      </c>
      <c r="D350" s="38">
        <v>75</v>
      </c>
      <c r="E350" s="38"/>
      <c r="F350" s="38"/>
      <c r="G350" s="135">
        <v>0.83499999999999996</v>
      </c>
      <c r="H350" s="28" t="s">
        <v>14</v>
      </c>
      <c r="I350" s="41">
        <v>140000</v>
      </c>
      <c r="J350" s="35" t="s">
        <v>15</v>
      </c>
      <c r="K350" s="42"/>
      <c r="L350" s="43"/>
    </row>
    <row r="351" spans="2:12" ht="18" customHeight="1" x14ac:dyDescent="0.3">
      <c r="B351" s="33" t="s">
        <v>40</v>
      </c>
      <c r="C351" s="38" t="s">
        <v>182</v>
      </c>
      <c r="D351" s="38">
        <v>90</v>
      </c>
      <c r="E351" s="38"/>
      <c r="F351" s="38"/>
      <c r="G351" s="139">
        <v>0.124</v>
      </c>
      <c r="H351" s="28" t="s">
        <v>14</v>
      </c>
      <c r="I351" s="41">
        <v>140000</v>
      </c>
      <c r="J351" s="35" t="s">
        <v>15</v>
      </c>
      <c r="K351" s="42"/>
      <c r="L351" s="43"/>
    </row>
    <row r="352" spans="2:12" s="18" customFormat="1" ht="19.5" customHeight="1" x14ac:dyDescent="0.3">
      <c r="B352" s="33" t="s">
        <v>18</v>
      </c>
      <c r="C352" s="38" t="s">
        <v>183</v>
      </c>
      <c r="D352" s="38">
        <v>70</v>
      </c>
      <c r="E352" s="38"/>
      <c r="F352" s="38"/>
      <c r="G352" s="135">
        <v>0.28599999999999998</v>
      </c>
      <c r="H352" s="40" t="s">
        <v>20</v>
      </c>
      <c r="I352" s="44">
        <v>250000</v>
      </c>
      <c r="J352" s="35" t="s">
        <v>15</v>
      </c>
      <c r="K352" s="42"/>
      <c r="L352" s="43"/>
    </row>
    <row r="353" spans="2:21" ht="18.75" x14ac:dyDescent="0.3">
      <c r="B353" s="33" t="s">
        <v>40</v>
      </c>
      <c r="C353" s="38" t="s">
        <v>183</v>
      </c>
      <c r="D353" s="38">
        <v>10</v>
      </c>
      <c r="E353" s="38"/>
      <c r="F353" s="38" t="s">
        <v>184</v>
      </c>
      <c r="G353" s="135">
        <v>0.63100000000000001</v>
      </c>
      <c r="H353" s="75" t="s">
        <v>185</v>
      </c>
      <c r="I353" s="44">
        <v>300000</v>
      </c>
      <c r="J353" s="35" t="s">
        <v>15</v>
      </c>
      <c r="K353" s="52"/>
      <c r="L353" s="83"/>
    </row>
    <row r="354" spans="2:21" ht="21" x14ac:dyDescent="0.3">
      <c r="B354" s="33" t="s">
        <v>40</v>
      </c>
      <c r="C354" s="38" t="s">
        <v>183</v>
      </c>
      <c r="D354" s="38">
        <v>30</v>
      </c>
      <c r="E354" s="38"/>
      <c r="F354" s="38" t="s">
        <v>186</v>
      </c>
      <c r="G354" s="135">
        <v>1.321</v>
      </c>
      <c r="H354" s="28" t="s">
        <v>14</v>
      </c>
      <c r="I354" s="44">
        <v>320000</v>
      </c>
      <c r="J354" s="35" t="s">
        <v>15</v>
      </c>
      <c r="K354" s="82"/>
      <c r="L354" s="83"/>
    </row>
    <row r="355" spans="2:21" s="24" customFormat="1" ht="21" x14ac:dyDescent="0.3">
      <c r="B355" s="46" t="s">
        <v>40</v>
      </c>
      <c r="C355" s="47" t="s">
        <v>183</v>
      </c>
      <c r="D355" s="47">
        <v>40</v>
      </c>
      <c r="E355" s="47"/>
      <c r="F355" s="47" t="s">
        <v>188</v>
      </c>
      <c r="G355" s="136">
        <v>4</v>
      </c>
      <c r="H355" s="28" t="s">
        <v>14</v>
      </c>
      <c r="I355" s="50"/>
      <c r="J355" s="68" t="s">
        <v>189</v>
      </c>
      <c r="K355" s="82"/>
      <c r="L355" s="83"/>
      <c r="M355" s="27"/>
      <c r="N355" s="27"/>
      <c r="O355" s="27"/>
      <c r="P355" s="27"/>
      <c r="Q355" s="27"/>
      <c r="R355" s="27"/>
      <c r="S355" s="27"/>
      <c r="T355" s="27"/>
      <c r="U355" s="27"/>
    </row>
    <row r="356" spans="2:21" s="24" customFormat="1" ht="21" x14ac:dyDescent="0.3">
      <c r="B356" s="46" t="s">
        <v>40</v>
      </c>
      <c r="C356" s="47" t="s">
        <v>183</v>
      </c>
      <c r="D356" s="47">
        <v>40</v>
      </c>
      <c r="E356" s="47"/>
      <c r="F356" s="47" t="s">
        <v>187</v>
      </c>
      <c r="G356" s="136">
        <v>8.9999999999999993E-3</v>
      </c>
      <c r="H356" s="28" t="s">
        <v>14</v>
      </c>
      <c r="I356" s="50">
        <v>340000</v>
      </c>
      <c r="J356" s="68" t="s">
        <v>15</v>
      </c>
      <c r="K356" s="82"/>
      <c r="L356" s="83"/>
      <c r="M356" s="27"/>
      <c r="N356" s="27"/>
      <c r="O356" s="27"/>
      <c r="P356" s="27"/>
      <c r="Q356" s="27"/>
      <c r="R356" s="27"/>
      <c r="S356" s="27"/>
      <c r="T356" s="27"/>
      <c r="U356" s="27"/>
    </row>
    <row r="357" spans="2:21" ht="21" x14ac:dyDescent="0.3">
      <c r="B357" s="33" t="s">
        <v>40</v>
      </c>
      <c r="C357" s="38" t="s">
        <v>183</v>
      </c>
      <c r="D357" s="38">
        <v>45</v>
      </c>
      <c r="E357" s="38"/>
      <c r="F357" s="38" t="s">
        <v>190</v>
      </c>
      <c r="G357" s="135">
        <v>0.73299999999999998</v>
      </c>
      <c r="H357" s="28" t="s">
        <v>14</v>
      </c>
      <c r="I357" s="44">
        <v>320000</v>
      </c>
      <c r="J357" s="35" t="s">
        <v>15</v>
      </c>
      <c r="K357" s="82"/>
      <c r="L357" s="83"/>
    </row>
    <row r="358" spans="2:21" ht="21" x14ac:dyDescent="0.3">
      <c r="B358" s="33" t="s">
        <v>40</v>
      </c>
      <c r="C358" s="38" t="s">
        <v>183</v>
      </c>
      <c r="D358" s="38">
        <v>50</v>
      </c>
      <c r="E358" s="38"/>
      <c r="F358" s="38" t="s">
        <v>190</v>
      </c>
      <c r="G358" s="135">
        <v>0.92600000000000005</v>
      </c>
      <c r="H358" s="28" t="s">
        <v>14</v>
      </c>
      <c r="I358" s="44">
        <v>320000</v>
      </c>
      <c r="J358" s="35" t="s">
        <v>15</v>
      </c>
      <c r="K358" s="82"/>
      <c r="L358" s="83"/>
    </row>
    <row r="359" spans="2:21" ht="21" x14ac:dyDescent="0.3">
      <c r="B359" s="46" t="s">
        <v>40</v>
      </c>
      <c r="C359" s="47" t="s">
        <v>183</v>
      </c>
      <c r="D359" s="47">
        <v>60</v>
      </c>
      <c r="E359" s="47"/>
      <c r="F359" s="47" t="s">
        <v>188</v>
      </c>
      <c r="G359" s="136">
        <v>6</v>
      </c>
      <c r="H359" s="28" t="s">
        <v>14</v>
      </c>
      <c r="I359" s="50"/>
      <c r="J359" s="68" t="s">
        <v>189</v>
      </c>
      <c r="K359" s="82"/>
      <c r="L359" s="83"/>
    </row>
    <row r="360" spans="2:21" ht="21" x14ac:dyDescent="0.3">
      <c r="B360" s="46" t="s">
        <v>40</v>
      </c>
      <c r="C360" s="47" t="s">
        <v>183</v>
      </c>
      <c r="D360" s="47">
        <v>60</v>
      </c>
      <c r="E360" s="47"/>
      <c r="F360" s="47" t="s">
        <v>191</v>
      </c>
      <c r="G360" s="136">
        <v>0.95199999999999996</v>
      </c>
      <c r="H360" s="28" t="s">
        <v>14</v>
      </c>
      <c r="I360" s="50">
        <v>350000</v>
      </c>
      <c r="J360" s="68" t="s">
        <v>15</v>
      </c>
      <c r="K360" s="82"/>
      <c r="L360" s="83"/>
    </row>
    <row r="361" spans="2:21" ht="21" x14ac:dyDescent="0.3">
      <c r="B361" s="33" t="s">
        <v>40</v>
      </c>
      <c r="C361" s="38" t="s">
        <v>183</v>
      </c>
      <c r="D361" s="38">
        <v>70</v>
      </c>
      <c r="E361" s="38"/>
      <c r="F361" s="38"/>
      <c r="G361" s="135">
        <v>6.4980000000000002</v>
      </c>
      <c r="H361" s="28" t="s">
        <v>14</v>
      </c>
      <c r="I361" s="44">
        <v>280000</v>
      </c>
      <c r="J361" s="35" t="s">
        <v>15</v>
      </c>
      <c r="K361" s="82"/>
      <c r="L361" s="83"/>
    </row>
    <row r="362" spans="2:21" ht="21" x14ac:dyDescent="0.3">
      <c r="B362" s="33" t="s">
        <v>40</v>
      </c>
      <c r="C362" s="38" t="s">
        <v>183</v>
      </c>
      <c r="D362" s="38">
        <v>75</v>
      </c>
      <c r="E362" s="38"/>
      <c r="F362" s="38" t="s">
        <v>192</v>
      </c>
      <c r="G362" s="135">
        <v>0.35799999999999998</v>
      </c>
      <c r="H362" s="28" t="s">
        <v>14</v>
      </c>
      <c r="I362" s="44">
        <v>320000</v>
      </c>
      <c r="J362" s="35" t="s">
        <v>15</v>
      </c>
      <c r="K362" s="82"/>
      <c r="L362" s="83"/>
    </row>
    <row r="363" spans="2:21" ht="21" x14ac:dyDescent="0.3">
      <c r="B363" s="46" t="s">
        <v>40</v>
      </c>
      <c r="C363" s="47" t="s">
        <v>183</v>
      </c>
      <c r="D363" s="47">
        <v>75</v>
      </c>
      <c r="E363" s="47"/>
      <c r="F363" s="47" t="s">
        <v>188</v>
      </c>
      <c r="G363" s="136">
        <v>4</v>
      </c>
      <c r="H363" s="28" t="s">
        <v>14</v>
      </c>
      <c r="I363" s="50"/>
      <c r="J363" s="68" t="s">
        <v>189</v>
      </c>
      <c r="K363" s="82"/>
      <c r="L363" s="83"/>
    </row>
    <row r="364" spans="2:21" ht="21" x14ac:dyDescent="0.3">
      <c r="B364" s="33" t="s">
        <v>40</v>
      </c>
      <c r="C364" s="38" t="s">
        <v>183</v>
      </c>
      <c r="D364" s="38">
        <v>80</v>
      </c>
      <c r="E364" s="38"/>
      <c r="F364" s="38" t="s">
        <v>186</v>
      </c>
      <c r="G364" s="135">
        <v>0.81299999999999994</v>
      </c>
      <c r="H364" s="28" t="s">
        <v>14</v>
      </c>
      <c r="I364" s="44">
        <v>320000</v>
      </c>
      <c r="J364" s="35" t="s">
        <v>15</v>
      </c>
      <c r="K364" s="52"/>
      <c r="L364" s="83"/>
    </row>
    <row r="365" spans="2:21" ht="21" x14ac:dyDescent="0.3">
      <c r="B365" s="33" t="s">
        <v>40</v>
      </c>
      <c r="C365" s="38" t="s">
        <v>183</v>
      </c>
      <c r="D365" s="38">
        <v>80</v>
      </c>
      <c r="E365" s="38"/>
      <c r="F365" s="38" t="s">
        <v>192</v>
      </c>
      <c r="G365" s="135">
        <v>7.4119999999999999</v>
      </c>
      <c r="H365" s="28" t="s">
        <v>14</v>
      </c>
      <c r="I365" s="44">
        <v>320000</v>
      </c>
      <c r="J365" s="35" t="s">
        <v>15</v>
      </c>
      <c r="K365" s="52"/>
      <c r="L365" s="83"/>
      <c r="N365" s="27" t="s">
        <v>92</v>
      </c>
    </row>
    <row r="366" spans="2:21" ht="21" x14ac:dyDescent="0.3">
      <c r="B366" s="33" t="s">
        <v>40</v>
      </c>
      <c r="C366" s="38" t="s">
        <v>183</v>
      </c>
      <c r="D366" s="38">
        <v>85</v>
      </c>
      <c r="E366" s="38"/>
      <c r="F366" s="38" t="s">
        <v>193</v>
      </c>
      <c r="G366" s="135">
        <v>0.39400000000000002</v>
      </c>
      <c r="H366" s="28" t="s">
        <v>14</v>
      </c>
      <c r="I366" s="44">
        <v>320000</v>
      </c>
      <c r="J366" s="35" t="s">
        <v>15</v>
      </c>
      <c r="K366" s="52"/>
      <c r="L366" s="83"/>
    </row>
    <row r="367" spans="2:21" ht="21" x14ac:dyDescent="0.3">
      <c r="B367" s="33" t="s">
        <v>40</v>
      </c>
      <c r="C367" s="38" t="s">
        <v>183</v>
      </c>
      <c r="D367" s="38">
        <v>85</v>
      </c>
      <c r="E367" s="38"/>
      <c r="F367" s="38" t="s">
        <v>194</v>
      </c>
      <c r="G367" s="135">
        <v>0.55900000000000005</v>
      </c>
      <c r="H367" s="28" t="s">
        <v>14</v>
      </c>
      <c r="I367" s="44">
        <v>320000</v>
      </c>
      <c r="J367" s="35" t="s">
        <v>15</v>
      </c>
      <c r="K367" s="52"/>
      <c r="L367" s="83"/>
    </row>
    <row r="368" spans="2:21" ht="21" x14ac:dyDescent="0.3">
      <c r="B368" s="33" t="s">
        <v>40</v>
      </c>
      <c r="C368" s="38" t="s">
        <v>183</v>
      </c>
      <c r="D368" s="38">
        <v>90</v>
      </c>
      <c r="E368" s="38"/>
      <c r="F368" s="38" t="s">
        <v>195</v>
      </c>
      <c r="G368" s="135">
        <v>2.1819999999999999</v>
      </c>
      <c r="H368" s="28" t="s">
        <v>14</v>
      </c>
      <c r="I368" s="44">
        <v>330000</v>
      </c>
      <c r="J368" s="35" t="s">
        <v>15</v>
      </c>
      <c r="K368" s="84"/>
      <c r="L368" s="83"/>
    </row>
    <row r="369" spans="2:21" ht="21" x14ac:dyDescent="0.3">
      <c r="B369" s="33" t="s">
        <v>40</v>
      </c>
      <c r="C369" s="38" t="s">
        <v>183</v>
      </c>
      <c r="D369" s="38">
        <v>95</v>
      </c>
      <c r="E369" s="38"/>
      <c r="F369" s="38" t="s">
        <v>196</v>
      </c>
      <c r="G369" s="135">
        <v>1.0249999999999999</v>
      </c>
      <c r="H369" s="28" t="s">
        <v>14</v>
      </c>
      <c r="I369" s="44">
        <v>330000</v>
      </c>
      <c r="J369" s="35" t="s">
        <v>15</v>
      </c>
      <c r="K369" s="84"/>
      <c r="L369" s="83"/>
    </row>
    <row r="370" spans="2:21" ht="21" x14ac:dyDescent="0.3">
      <c r="B370" s="46" t="s">
        <v>40</v>
      </c>
      <c r="C370" s="47" t="s">
        <v>183</v>
      </c>
      <c r="D370" s="47">
        <v>100</v>
      </c>
      <c r="E370" s="47"/>
      <c r="F370" s="47" t="s">
        <v>197</v>
      </c>
      <c r="G370" s="136">
        <v>4</v>
      </c>
      <c r="H370" s="28" t="s">
        <v>14</v>
      </c>
      <c r="I370" s="50"/>
      <c r="J370" s="68" t="s">
        <v>189</v>
      </c>
      <c r="K370" s="52"/>
      <c r="L370" s="83"/>
    </row>
    <row r="371" spans="2:21" ht="21" x14ac:dyDescent="0.3">
      <c r="B371" s="33" t="s">
        <v>40</v>
      </c>
      <c r="C371" s="38" t="s">
        <v>183</v>
      </c>
      <c r="D371" s="38">
        <v>110</v>
      </c>
      <c r="E371" s="38"/>
      <c r="F371" s="38" t="s">
        <v>198</v>
      </c>
      <c r="G371" s="135">
        <v>4.266</v>
      </c>
      <c r="H371" s="28" t="s">
        <v>14</v>
      </c>
      <c r="I371" s="44">
        <v>320000</v>
      </c>
      <c r="J371" s="35" t="s">
        <v>15</v>
      </c>
      <c r="K371" s="52"/>
      <c r="L371" s="83"/>
    </row>
    <row r="372" spans="2:21" ht="21" x14ac:dyDescent="0.3">
      <c r="B372" s="33" t="s">
        <v>40</v>
      </c>
      <c r="C372" s="38" t="s">
        <v>183</v>
      </c>
      <c r="D372" s="38">
        <v>110</v>
      </c>
      <c r="E372" s="38"/>
      <c r="F372" s="38" t="s">
        <v>198</v>
      </c>
      <c r="G372" s="135">
        <v>7.9409999999999998</v>
      </c>
      <c r="H372" s="28" t="s">
        <v>14</v>
      </c>
      <c r="I372" s="44">
        <v>320000</v>
      </c>
      <c r="J372" s="35" t="s">
        <v>15</v>
      </c>
      <c r="K372" s="52"/>
      <c r="L372" s="39"/>
    </row>
    <row r="373" spans="2:21" s="24" customFormat="1" ht="21" x14ac:dyDescent="0.3">
      <c r="B373" s="46" t="s">
        <v>40</v>
      </c>
      <c r="C373" s="47" t="s">
        <v>183</v>
      </c>
      <c r="D373" s="47">
        <v>110</v>
      </c>
      <c r="E373" s="47"/>
      <c r="F373" s="47"/>
      <c r="G373" s="136">
        <v>4.6310000000000002</v>
      </c>
      <c r="H373" s="28" t="s">
        <v>14</v>
      </c>
      <c r="I373" s="50">
        <v>340000</v>
      </c>
      <c r="J373" s="68" t="s">
        <v>15</v>
      </c>
      <c r="K373" s="52"/>
      <c r="L373" s="39"/>
      <c r="M373" s="27"/>
      <c r="N373" s="27"/>
      <c r="O373" s="27"/>
      <c r="P373" s="27"/>
      <c r="Q373" s="27"/>
      <c r="R373" s="27"/>
      <c r="S373" s="27"/>
      <c r="T373" s="27"/>
      <c r="U373" s="27"/>
    </row>
    <row r="374" spans="2:21" s="24" customFormat="1" ht="21" x14ac:dyDescent="0.3">
      <c r="B374" s="33" t="s">
        <v>40</v>
      </c>
      <c r="C374" s="38" t="s">
        <v>183</v>
      </c>
      <c r="D374" s="38">
        <v>115</v>
      </c>
      <c r="E374" s="38"/>
      <c r="F374" s="38"/>
      <c r="G374" s="135">
        <v>0.57899999999999996</v>
      </c>
      <c r="H374" s="28" t="s">
        <v>14</v>
      </c>
      <c r="I374" s="44">
        <v>270000</v>
      </c>
      <c r="J374" s="35" t="s">
        <v>15</v>
      </c>
      <c r="K374" s="52"/>
      <c r="L374" s="39"/>
      <c r="M374" s="27"/>
      <c r="N374" s="27"/>
      <c r="O374" s="27"/>
      <c r="P374" s="27"/>
      <c r="Q374" s="27"/>
      <c r="R374" s="27"/>
      <c r="S374" s="27"/>
      <c r="T374" s="27"/>
      <c r="U374" s="27"/>
    </row>
    <row r="375" spans="2:21" ht="21" x14ac:dyDescent="0.3">
      <c r="B375" s="33" t="s">
        <v>40</v>
      </c>
      <c r="C375" s="38" t="s">
        <v>183</v>
      </c>
      <c r="D375" s="38">
        <v>120</v>
      </c>
      <c r="E375" s="38"/>
      <c r="F375" s="38" t="s">
        <v>199</v>
      </c>
      <c r="G375" s="135">
        <v>0.111</v>
      </c>
      <c r="H375" s="28" t="s">
        <v>14</v>
      </c>
      <c r="I375" s="44">
        <v>320000</v>
      </c>
      <c r="J375" s="35" t="s">
        <v>15</v>
      </c>
      <c r="K375" s="52"/>
      <c r="L375" s="49"/>
    </row>
    <row r="376" spans="2:21" ht="21" x14ac:dyDescent="0.3">
      <c r="B376" s="33" t="s">
        <v>40</v>
      </c>
      <c r="C376" s="38" t="s">
        <v>183</v>
      </c>
      <c r="D376" s="38">
        <v>120</v>
      </c>
      <c r="E376" s="38"/>
      <c r="F376" s="38" t="s">
        <v>200</v>
      </c>
      <c r="G376" s="135">
        <v>4.6020000000000003</v>
      </c>
      <c r="H376" s="28" t="s">
        <v>14</v>
      </c>
      <c r="I376" s="44">
        <v>320000</v>
      </c>
      <c r="J376" s="35" t="s">
        <v>15</v>
      </c>
      <c r="K376" s="52"/>
      <c r="L376" s="39"/>
    </row>
    <row r="377" spans="2:21" s="24" customFormat="1" ht="21" x14ac:dyDescent="0.3">
      <c r="B377" s="46" t="s">
        <v>40</v>
      </c>
      <c r="C377" s="47" t="s">
        <v>183</v>
      </c>
      <c r="D377" s="47">
        <v>120</v>
      </c>
      <c r="E377" s="47"/>
      <c r="F377" s="47" t="s">
        <v>201</v>
      </c>
      <c r="G377" s="136">
        <v>2.85</v>
      </c>
      <c r="H377" s="28" t="s">
        <v>14</v>
      </c>
      <c r="I377" s="50">
        <v>340000</v>
      </c>
      <c r="J377" s="68" t="s">
        <v>15</v>
      </c>
      <c r="K377" s="52"/>
      <c r="L377" s="85"/>
      <c r="M377" s="27"/>
      <c r="N377" s="27"/>
      <c r="O377" s="27"/>
      <c r="P377" s="27"/>
      <c r="Q377" s="27"/>
      <c r="R377" s="27"/>
      <c r="S377" s="27"/>
      <c r="T377" s="27"/>
      <c r="U377" s="27"/>
    </row>
    <row r="378" spans="2:21" ht="21" x14ac:dyDescent="0.3">
      <c r="B378" s="33" t="s">
        <v>40</v>
      </c>
      <c r="C378" s="38" t="s">
        <v>183</v>
      </c>
      <c r="D378" s="38">
        <v>130</v>
      </c>
      <c r="E378" s="38"/>
      <c r="F378" s="38" t="s">
        <v>202</v>
      </c>
      <c r="G378" s="135">
        <v>0.438</v>
      </c>
      <c r="H378" s="28" t="s">
        <v>14</v>
      </c>
      <c r="I378" s="44">
        <v>320000</v>
      </c>
      <c r="J378" s="35" t="s">
        <v>15</v>
      </c>
      <c r="K378" s="52"/>
      <c r="L378" s="83"/>
    </row>
    <row r="379" spans="2:21" ht="21" x14ac:dyDescent="0.3">
      <c r="B379" s="33" t="s">
        <v>40</v>
      </c>
      <c r="C379" s="38" t="s">
        <v>183</v>
      </c>
      <c r="D379" s="38">
        <v>130</v>
      </c>
      <c r="E379" s="38"/>
      <c r="F379" s="38" t="s">
        <v>203</v>
      </c>
      <c r="G379" s="135">
        <v>4.2069999999999999</v>
      </c>
      <c r="H379" s="28" t="s">
        <v>14</v>
      </c>
      <c r="I379" s="44">
        <v>320000</v>
      </c>
      <c r="J379" s="35" t="s">
        <v>15</v>
      </c>
      <c r="K379" s="52"/>
      <c r="L379" s="83"/>
    </row>
    <row r="380" spans="2:21" s="24" customFormat="1" ht="21" x14ac:dyDescent="0.3">
      <c r="B380" s="46" t="s">
        <v>40</v>
      </c>
      <c r="C380" s="47" t="s">
        <v>183</v>
      </c>
      <c r="D380" s="47">
        <v>130</v>
      </c>
      <c r="E380" s="47"/>
      <c r="F380" s="47" t="s">
        <v>203</v>
      </c>
      <c r="G380" s="136">
        <v>4.4610000000000003</v>
      </c>
      <c r="H380" s="28" t="s">
        <v>14</v>
      </c>
      <c r="I380" s="50">
        <v>340000</v>
      </c>
      <c r="J380" s="68" t="s">
        <v>15</v>
      </c>
      <c r="K380" s="52"/>
      <c r="L380" s="83"/>
      <c r="M380" s="27"/>
      <c r="N380" s="27"/>
      <c r="O380" s="27"/>
      <c r="P380" s="27"/>
      <c r="Q380" s="27"/>
      <c r="R380" s="27"/>
      <c r="S380" s="27"/>
      <c r="T380" s="27"/>
      <c r="U380" s="27"/>
    </row>
    <row r="381" spans="2:21" ht="21" x14ac:dyDescent="0.3">
      <c r="B381" s="33" t="s">
        <v>40</v>
      </c>
      <c r="C381" s="38" t="s">
        <v>183</v>
      </c>
      <c r="D381" s="38">
        <v>130</v>
      </c>
      <c r="E381" s="38"/>
      <c r="F381" s="38"/>
      <c r="G381" s="135">
        <v>3.5880000000000001</v>
      </c>
      <c r="H381" s="28" t="s">
        <v>14</v>
      </c>
      <c r="I381" s="44">
        <v>320000</v>
      </c>
      <c r="J381" s="35" t="s">
        <v>15</v>
      </c>
      <c r="K381" s="52"/>
      <c r="L381" s="83"/>
    </row>
    <row r="382" spans="2:21" s="24" customFormat="1" ht="21" x14ac:dyDescent="0.3">
      <c r="B382" s="46" t="s">
        <v>40</v>
      </c>
      <c r="C382" s="47" t="s">
        <v>183</v>
      </c>
      <c r="D382" s="47">
        <v>140</v>
      </c>
      <c r="E382" s="47"/>
      <c r="F382" s="47" t="s">
        <v>204</v>
      </c>
      <c r="G382" s="136">
        <v>2.3039999999999998</v>
      </c>
      <c r="H382" s="28" t="s">
        <v>14</v>
      </c>
      <c r="I382" s="50">
        <v>350000</v>
      </c>
      <c r="J382" s="68" t="s">
        <v>15</v>
      </c>
      <c r="K382" s="52"/>
      <c r="L382" s="83"/>
      <c r="M382" s="27"/>
      <c r="N382" s="27"/>
      <c r="O382" s="27"/>
      <c r="P382" s="27"/>
      <c r="Q382" s="27"/>
      <c r="R382" s="27"/>
      <c r="S382" s="27"/>
      <c r="T382" s="27"/>
      <c r="U382" s="27"/>
    </row>
    <row r="383" spans="2:21" ht="21" x14ac:dyDescent="0.3">
      <c r="B383" s="46" t="s">
        <v>40</v>
      </c>
      <c r="C383" s="47" t="s">
        <v>183</v>
      </c>
      <c r="D383" s="47">
        <v>140</v>
      </c>
      <c r="E383" s="47"/>
      <c r="F383" s="47" t="s">
        <v>205</v>
      </c>
      <c r="G383" s="136">
        <v>0.752</v>
      </c>
      <c r="H383" s="28" t="s">
        <v>14</v>
      </c>
      <c r="I383" s="50">
        <v>330000</v>
      </c>
      <c r="J383" s="68" t="s">
        <v>15</v>
      </c>
      <c r="K383" s="52"/>
      <c r="L383" s="83"/>
    </row>
    <row r="384" spans="2:21" ht="21" x14ac:dyDescent="0.3">
      <c r="B384" s="33" t="s">
        <v>40</v>
      </c>
      <c r="C384" s="38" t="s">
        <v>183</v>
      </c>
      <c r="D384" s="38">
        <v>150</v>
      </c>
      <c r="E384" s="38"/>
      <c r="F384" s="38" t="s">
        <v>206</v>
      </c>
      <c r="G384" s="135">
        <v>0.182</v>
      </c>
      <c r="H384" s="28" t="s">
        <v>14</v>
      </c>
      <c r="I384" s="44">
        <v>330000</v>
      </c>
      <c r="J384" s="35" t="s">
        <v>15</v>
      </c>
      <c r="K384" s="42"/>
      <c r="L384" s="83"/>
    </row>
    <row r="385" spans="2:21" ht="21" x14ac:dyDescent="0.3">
      <c r="B385" s="33" t="s">
        <v>40</v>
      </c>
      <c r="C385" s="38" t="s">
        <v>183</v>
      </c>
      <c r="D385" s="38">
        <v>150</v>
      </c>
      <c r="E385" s="38"/>
      <c r="F385" s="38" t="s">
        <v>207</v>
      </c>
      <c r="G385" s="135">
        <v>3.895</v>
      </c>
      <c r="H385" s="28" t="s">
        <v>14</v>
      </c>
      <c r="I385" s="44">
        <v>330000</v>
      </c>
      <c r="J385" s="35" t="s">
        <v>15</v>
      </c>
      <c r="K385" s="52"/>
      <c r="L385" s="83"/>
    </row>
    <row r="386" spans="2:21" ht="21" x14ac:dyDescent="0.3">
      <c r="B386" s="33" t="s">
        <v>40</v>
      </c>
      <c r="C386" s="38" t="s">
        <v>183</v>
      </c>
      <c r="D386" s="38">
        <v>155</v>
      </c>
      <c r="E386" s="38"/>
      <c r="F386" s="38" t="s">
        <v>208</v>
      </c>
      <c r="G386" s="135">
        <v>0.32500000000000001</v>
      </c>
      <c r="H386" s="28" t="s">
        <v>14</v>
      </c>
      <c r="I386" s="44">
        <v>330000</v>
      </c>
      <c r="J386" s="35" t="s">
        <v>15</v>
      </c>
      <c r="K386" s="52"/>
      <c r="L386" s="83"/>
    </row>
    <row r="387" spans="2:21" ht="21" x14ac:dyDescent="0.3">
      <c r="B387" s="46" t="s">
        <v>40</v>
      </c>
      <c r="C387" s="47" t="s">
        <v>183</v>
      </c>
      <c r="D387" s="47">
        <v>160</v>
      </c>
      <c r="E387" s="47"/>
      <c r="F387" s="47" t="s">
        <v>197</v>
      </c>
      <c r="G387" s="136">
        <v>4</v>
      </c>
      <c r="H387" s="28" t="s">
        <v>14</v>
      </c>
      <c r="I387" s="50"/>
      <c r="J387" s="68" t="s">
        <v>189</v>
      </c>
      <c r="K387" s="52"/>
      <c r="L387" s="83"/>
    </row>
    <row r="388" spans="2:21" s="24" customFormat="1" ht="21" x14ac:dyDescent="0.3">
      <c r="B388" s="46" t="s">
        <v>40</v>
      </c>
      <c r="C388" s="47" t="s">
        <v>183</v>
      </c>
      <c r="D388" s="47">
        <v>160</v>
      </c>
      <c r="E388" s="47"/>
      <c r="F388" s="47" t="s">
        <v>209</v>
      </c>
      <c r="G388" s="136">
        <v>0.13400000000000001</v>
      </c>
      <c r="H388" s="28" t="s">
        <v>14</v>
      </c>
      <c r="I388" s="50">
        <v>350000</v>
      </c>
      <c r="J388" s="68" t="s">
        <v>15</v>
      </c>
      <c r="K388" s="52"/>
      <c r="L388" s="83"/>
      <c r="M388" s="27"/>
      <c r="N388" s="27"/>
      <c r="O388" s="27"/>
      <c r="P388" s="27"/>
      <c r="Q388" s="27"/>
      <c r="R388" s="27"/>
      <c r="S388" s="27"/>
      <c r="T388" s="27"/>
      <c r="U388" s="27"/>
    </row>
    <row r="389" spans="2:21" ht="21" x14ac:dyDescent="0.3">
      <c r="B389" s="33" t="s">
        <v>40</v>
      </c>
      <c r="C389" s="38" t="s">
        <v>183</v>
      </c>
      <c r="D389" s="38">
        <v>160</v>
      </c>
      <c r="E389" s="38"/>
      <c r="F389" s="38" t="s">
        <v>210</v>
      </c>
      <c r="G389" s="135">
        <v>0.59199999999999997</v>
      </c>
      <c r="H389" s="28" t="s">
        <v>14</v>
      </c>
      <c r="I389" s="44">
        <v>270000</v>
      </c>
      <c r="J389" s="35" t="s">
        <v>15</v>
      </c>
      <c r="K389" s="52"/>
      <c r="L389" s="83"/>
    </row>
    <row r="390" spans="2:21" ht="21" x14ac:dyDescent="0.3">
      <c r="B390" s="46" t="s">
        <v>40</v>
      </c>
      <c r="C390" s="47" t="s">
        <v>183</v>
      </c>
      <c r="D390" s="47">
        <v>170</v>
      </c>
      <c r="E390" s="47"/>
      <c r="F390" s="47" t="s">
        <v>197</v>
      </c>
      <c r="G390" s="136">
        <v>4</v>
      </c>
      <c r="H390" s="28" t="s">
        <v>14</v>
      </c>
      <c r="I390" s="50"/>
      <c r="J390" s="68" t="s">
        <v>189</v>
      </c>
      <c r="K390" s="52"/>
      <c r="L390" s="83"/>
    </row>
    <row r="391" spans="2:21" ht="21" x14ac:dyDescent="0.3">
      <c r="B391" s="33" t="s">
        <v>40</v>
      </c>
      <c r="C391" s="38" t="s">
        <v>183</v>
      </c>
      <c r="D391" s="38">
        <v>180</v>
      </c>
      <c r="E391" s="38"/>
      <c r="F391" s="38" t="s">
        <v>211</v>
      </c>
      <c r="G391" s="135">
        <v>0.30499999999999999</v>
      </c>
      <c r="H391" s="28" t="s">
        <v>14</v>
      </c>
      <c r="I391" s="44">
        <v>330000</v>
      </c>
      <c r="J391" s="35" t="s">
        <v>15</v>
      </c>
      <c r="K391" s="52"/>
      <c r="L391" s="83"/>
    </row>
    <row r="392" spans="2:21" ht="21" x14ac:dyDescent="0.3">
      <c r="B392" s="46" t="s">
        <v>40</v>
      </c>
      <c r="C392" s="47" t="s">
        <v>183</v>
      </c>
      <c r="D392" s="47">
        <v>180</v>
      </c>
      <c r="E392" s="47"/>
      <c r="F392" s="47" t="s">
        <v>197</v>
      </c>
      <c r="G392" s="136">
        <v>4</v>
      </c>
      <c r="H392" s="28" t="s">
        <v>14</v>
      </c>
      <c r="I392" s="50"/>
      <c r="J392" s="68" t="s">
        <v>189</v>
      </c>
      <c r="K392" s="52"/>
      <c r="L392" s="83"/>
    </row>
    <row r="393" spans="2:21" s="24" customFormat="1" ht="21" x14ac:dyDescent="0.3">
      <c r="B393" s="46" t="s">
        <v>40</v>
      </c>
      <c r="C393" s="47" t="s">
        <v>183</v>
      </c>
      <c r="D393" s="47">
        <v>180</v>
      </c>
      <c r="E393" s="47"/>
      <c r="F393" s="47" t="s">
        <v>212</v>
      </c>
      <c r="G393" s="136">
        <v>0.24099999999999999</v>
      </c>
      <c r="H393" s="28" t="s">
        <v>14</v>
      </c>
      <c r="I393" s="50">
        <v>350000</v>
      </c>
      <c r="J393" s="68" t="s">
        <v>15</v>
      </c>
      <c r="K393" s="52"/>
      <c r="L393" s="83"/>
      <c r="M393" s="27"/>
      <c r="N393" s="27"/>
      <c r="O393" s="27"/>
      <c r="P393" s="27"/>
      <c r="Q393" s="27"/>
      <c r="R393" s="27"/>
      <c r="S393" s="27"/>
      <c r="T393" s="27"/>
      <c r="U393" s="27"/>
    </row>
    <row r="394" spans="2:21" ht="21.75" customHeight="1" x14ac:dyDescent="0.3">
      <c r="B394" s="33" t="s">
        <v>40</v>
      </c>
      <c r="C394" s="38" t="s">
        <v>183</v>
      </c>
      <c r="D394" s="38">
        <v>190</v>
      </c>
      <c r="E394" s="38"/>
      <c r="F394" s="38" t="s">
        <v>198</v>
      </c>
      <c r="G394" s="135">
        <v>0.34799999999999998</v>
      </c>
      <c r="H394" s="28" t="s">
        <v>14</v>
      </c>
      <c r="I394" s="44">
        <v>330000</v>
      </c>
      <c r="J394" s="35" t="s">
        <v>15</v>
      </c>
      <c r="K394" s="52"/>
      <c r="L394" s="83"/>
    </row>
    <row r="395" spans="2:21" s="24" customFormat="1" ht="21.75" customHeight="1" x14ac:dyDescent="0.3">
      <c r="B395" s="46" t="s">
        <v>40</v>
      </c>
      <c r="C395" s="47" t="s">
        <v>183</v>
      </c>
      <c r="D395" s="47">
        <v>190</v>
      </c>
      <c r="E395" s="47"/>
      <c r="F395" s="47" t="s">
        <v>201</v>
      </c>
      <c r="G395" s="136">
        <v>1.4339999999999999</v>
      </c>
      <c r="H395" s="28" t="s">
        <v>14</v>
      </c>
      <c r="I395" s="50">
        <v>350000</v>
      </c>
      <c r="J395" s="68" t="s">
        <v>15</v>
      </c>
      <c r="K395" s="52"/>
      <c r="L395" s="83"/>
      <c r="M395" s="27"/>
      <c r="N395" s="27"/>
      <c r="O395" s="27"/>
      <c r="P395" s="27"/>
      <c r="Q395" s="27"/>
      <c r="R395" s="27"/>
      <c r="S395" s="27"/>
      <c r="T395" s="27"/>
      <c r="U395" s="27"/>
    </row>
    <row r="396" spans="2:21" ht="21" x14ac:dyDescent="0.3">
      <c r="B396" s="33" t="s">
        <v>40</v>
      </c>
      <c r="C396" s="38" t="s">
        <v>183</v>
      </c>
      <c r="D396" s="38">
        <v>210</v>
      </c>
      <c r="E396" s="38"/>
      <c r="F396" s="38" t="s">
        <v>213</v>
      </c>
      <c r="G396" s="135">
        <v>1.0009999999999999</v>
      </c>
      <c r="H396" s="28" t="s">
        <v>14</v>
      </c>
      <c r="I396" s="44">
        <v>330000</v>
      </c>
      <c r="J396" s="35" t="s">
        <v>15</v>
      </c>
      <c r="K396" s="42"/>
      <c r="L396" s="83"/>
    </row>
    <row r="397" spans="2:21" ht="21" x14ac:dyDescent="0.3">
      <c r="B397" s="33" t="s">
        <v>40</v>
      </c>
      <c r="C397" s="38" t="s">
        <v>183</v>
      </c>
      <c r="D397" s="38">
        <v>230</v>
      </c>
      <c r="E397" s="38"/>
      <c r="F397" s="38" t="s">
        <v>202</v>
      </c>
      <c r="G397" s="135">
        <v>2.6989999999999998</v>
      </c>
      <c r="H397" s="28" t="s">
        <v>14</v>
      </c>
      <c r="I397" s="44">
        <v>330000</v>
      </c>
      <c r="J397" s="35" t="s">
        <v>15</v>
      </c>
      <c r="K397" s="82"/>
      <c r="L397" s="83"/>
    </row>
    <row r="398" spans="2:21" ht="21" x14ac:dyDescent="0.3">
      <c r="B398" s="33" t="s">
        <v>40</v>
      </c>
      <c r="C398" s="38" t="s">
        <v>183</v>
      </c>
      <c r="D398" s="38">
        <v>240</v>
      </c>
      <c r="E398" s="38"/>
      <c r="F398" s="38" t="s">
        <v>214</v>
      </c>
      <c r="G398" s="135">
        <v>0.73599999999999999</v>
      </c>
      <c r="H398" s="28" t="s">
        <v>14</v>
      </c>
      <c r="I398" s="44">
        <v>330000</v>
      </c>
      <c r="J398" s="35" t="s">
        <v>15</v>
      </c>
      <c r="K398" s="82"/>
      <c r="L398" s="83"/>
    </row>
    <row r="399" spans="2:21" ht="21" x14ac:dyDescent="0.3">
      <c r="B399" s="33" t="s">
        <v>40</v>
      </c>
      <c r="C399" s="38" t="s">
        <v>183</v>
      </c>
      <c r="D399" s="38">
        <v>240</v>
      </c>
      <c r="E399" s="38"/>
      <c r="F399" s="38" t="s">
        <v>215</v>
      </c>
      <c r="G399" s="135">
        <v>6.7160000000000002</v>
      </c>
      <c r="H399" s="28" t="s">
        <v>14</v>
      </c>
      <c r="I399" s="44">
        <v>330000</v>
      </c>
      <c r="J399" s="35" t="s">
        <v>15</v>
      </c>
      <c r="K399" s="82"/>
      <c r="L399" s="83"/>
      <c r="O399" s="27" t="s">
        <v>92</v>
      </c>
    </row>
    <row r="400" spans="2:21" ht="21" x14ac:dyDescent="0.3">
      <c r="B400" s="33" t="s">
        <v>40</v>
      </c>
      <c r="C400" s="38" t="s">
        <v>183</v>
      </c>
      <c r="D400" s="38">
        <v>250</v>
      </c>
      <c r="E400" s="38"/>
      <c r="F400" s="38" t="s">
        <v>216</v>
      </c>
      <c r="G400" s="135">
        <v>7.7249999999999996</v>
      </c>
      <c r="H400" s="28" t="s">
        <v>14</v>
      </c>
      <c r="I400" s="44">
        <v>330000</v>
      </c>
      <c r="J400" s="35" t="s">
        <v>15</v>
      </c>
      <c r="K400" s="82"/>
      <c r="L400" s="83"/>
    </row>
    <row r="401" spans="2:21" ht="21" x14ac:dyDescent="0.3">
      <c r="B401" s="33" t="s">
        <v>40</v>
      </c>
      <c r="C401" s="38" t="s">
        <v>183</v>
      </c>
      <c r="D401" s="38">
        <v>260</v>
      </c>
      <c r="E401" s="38"/>
      <c r="F401" s="38" t="s">
        <v>213</v>
      </c>
      <c r="G401" s="135">
        <v>0.13200000000000001</v>
      </c>
      <c r="H401" s="28" t="s">
        <v>14</v>
      </c>
      <c r="I401" s="44">
        <v>340000</v>
      </c>
      <c r="J401" s="35" t="s">
        <v>15</v>
      </c>
      <c r="K401" s="82"/>
      <c r="L401" s="83"/>
    </row>
    <row r="402" spans="2:21" ht="21" x14ac:dyDescent="0.3">
      <c r="B402" s="33" t="s">
        <v>40</v>
      </c>
      <c r="C402" s="38" t="s">
        <v>183</v>
      </c>
      <c r="D402" s="38">
        <v>280</v>
      </c>
      <c r="E402" s="38"/>
      <c r="F402" s="38" t="s">
        <v>217</v>
      </c>
      <c r="G402" s="135">
        <v>1.256</v>
      </c>
      <c r="H402" s="28" t="s">
        <v>14</v>
      </c>
      <c r="I402" s="44">
        <v>340000</v>
      </c>
      <c r="J402" s="35" t="s">
        <v>15</v>
      </c>
      <c r="K402" s="42"/>
      <c r="L402" s="83"/>
    </row>
    <row r="403" spans="2:21" ht="21" x14ac:dyDescent="0.3">
      <c r="B403" s="33" t="s">
        <v>40</v>
      </c>
      <c r="C403" s="38" t="s">
        <v>183</v>
      </c>
      <c r="D403" s="38">
        <v>290</v>
      </c>
      <c r="E403" s="38"/>
      <c r="F403" s="38" t="s">
        <v>218</v>
      </c>
      <c r="G403" s="135">
        <v>4.3460000000000001</v>
      </c>
      <c r="H403" s="28" t="s">
        <v>14</v>
      </c>
      <c r="I403" s="44">
        <v>340000</v>
      </c>
      <c r="J403" s="35" t="s">
        <v>15</v>
      </c>
      <c r="K403" s="82"/>
      <c r="L403" s="83"/>
    </row>
    <row r="404" spans="2:21" ht="21" x14ac:dyDescent="0.3">
      <c r="B404" s="33" t="s">
        <v>40</v>
      </c>
      <c r="C404" s="38" t="s">
        <v>183</v>
      </c>
      <c r="D404" s="38">
        <v>300</v>
      </c>
      <c r="E404" s="38"/>
      <c r="F404" s="38" t="s">
        <v>218</v>
      </c>
      <c r="G404" s="135">
        <v>3.2530000000000001</v>
      </c>
      <c r="H404" s="28" t="s">
        <v>14</v>
      </c>
      <c r="I404" s="44">
        <v>360000</v>
      </c>
      <c r="J404" s="35" t="s">
        <v>15</v>
      </c>
      <c r="K404" s="82"/>
      <c r="L404" s="83"/>
    </row>
    <row r="405" spans="2:21" ht="21" x14ac:dyDescent="0.3">
      <c r="B405" s="33" t="s">
        <v>40</v>
      </c>
      <c r="C405" s="38" t="s">
        <v>183</v>
      </c>
      <c r="D405" s="38">
        <v>320</v>
      </c>
      <c r="E405" s="33">
        <v>0.73</v>
      </c>
      <c r="F405" s="38" t="s">
        <v>219</v>
      </c>
      <c r="G405" s="135">
        <v>0.46500000000000002</v>
      </c>
      <c r="H405" s="28" t="s">
        <v>14</v>
      </c>
      <c r="I405" s="44">
        <v>380000</v>
      </c>
      <c r="J405" s="35" t="s">
        <v>15</v>
      </c>
      <c r="K405" s="82"/>
      <c r="L405" s="83"/>
    </row>
    <row r="406" spans="2:21" ht="21" x14ac:dyDescent="0.3">
      <c r="B406" s="33" t="s">
        <v>40</v>
      </c>
      <c r="C406" s="38" t="s">
        <v>183</v>
      </c>
      <c r="D406" s="38">
        <v>320</v>
      </c>
      <c r="E406" s="38"/>
      <c r="F406" s="38" t="s">
        <v>220</v>
      </c>
      <c r="G406" s="135">
        <v>5.2380000000000004</v>
      </c>
      <c r="H406" s="28" t="s">
        <v>14</v>
      </c>
      <c r="I406" s="44">
        <v>380000</v>
      </c>
      <c r="J406" s="35" t="s">
        <v>15</v>
      </c>
      <c r="K406" s="82"/>
      <c r="L406" s="83"/>
    </row>
    <row r="407" spans="2:21" ht="18.75" x14ac:dyDescent="0.3">
      <c r="B407" s="33" t="s">
        <v>147</v>
      </c>
      <c r="C407" s="38" t="s">
        <v>183</v>
      </c>
      <c r="D407" s="38">
        <v>340</v>
      </c>
      <c r="E407" s="33" t="s">
        <v>221</v>
      </c>
      <c r="F407" s="38" t="s">
        <v>222</v>
      </c>
      <c r="G407" s="135">
        <v>1.8</v>
      </c>
      <c r="H407" s="75" t="s">
        <v>223</v>
      </c>
      <c r="I407" s="41">
        <v>530000</v>
      </c>
      <c r="J407" s="35" t="s">
        <v>15</v>
      </c>
      <c r="K407" s="82"/>
      <c r="L407" s="83"/>
    </row>
    <row r="408" spans="2:21" ht="18.75" x14ac:dyDescent="0.3">
      <c r="B408" s="33" t="s">
        <v>147</v>
      </c>
      <c r="C408" s="38" t="s">
        <v>183</v>
      </c>
      <c r="D408" s="38">
        <v>360</v>
      </c>
      <c r="E408" s="33" t="s">
        <v>224</v>
      </c>
      <c r="F408" s="38" t="s">
        <v>222</v>
      </c>
      <c r="G408" s="135">
        <v>5.0730000000000004</v>
      </c>
      <c r="H408" s="75" t="s">
        <v>223</v>
      </c>
      <c r="I408" s="41">
        <v>530000</v>
      </c>
      <c r="J408" s="35" t="s">
        <v>15</v>
      </c>
      <c r="K408" s="82"/>
      <c r="L408" s="83"/>
    </row>
    <row r="409" spans="2:21" ht="18.75" x14ac:dyDescent="0.3">
      <c r="B409" s="33" t="s">
        <v>147</v>
      </c>
      <c r="C409" s="86" t="s">
        <v>183</v>
      </c>
      <c r="D409" s="86">
        <v>420</v>
      </c>
      <c r="E409" s="27" t="s">
        <v>225</v>
      </c>
      <c r="F409" s="38" t="s">
        <v>226</v>
      </c>
      <c r="G409" s="139">
        <v>3.5529999999999999</v>
      </c>
      <c r="H409" s="75" t="s">
        <v>227</v>
      </c>
      <c r="I409" s="41">
        <v>500000</v>
      </c>
      <c r="J409" s="35" t="s">
        <v>15</v>
      </c>
      <c r="K409" s="87"/>
      <c r="L409" s="83"/>
    </row>
    <row r="410" spans="2:21" ht="21" x14ac:dyDescent="0.3">
      <c r="B410" s="33" t="s">
        <v>23</v>
      </c>
      <c r="C410" s="86" t="s">
        <v>183</v>
      </c>
      <c r="D410" s="38" t="s">
        <v>228</v>
      </c>
      <c r="E410" s="38">
        <v>6.76</v>
      </c>
      <c r="F410" s="38" t="s">
        <v>229</v>
      </c>
      <c r="G410" s="135">
        <v>1.421</v>
      </c>
      <c r="H410" s="28" t="s">
        <v>14</v>
      </c>
      <c r="I410" s="44">
        <v>350000</v>
      </c>
      <c r="J410" s="88" t="s">
        <v>15</v>
      </c>
      <c r="K410" s="82"/>
      <c r="L410" s="83"/>
    </row>
    <row r="411" spans="2:21" ht="21" x14ac:dyDescent="0.3">
      <c r="B411" s="33" t="s">
        <v>23</v>
      </c>
      <c r="C411" s="86" t="s">
        <v>183</v>
      </c>
      <c r="D411" s="38" t="s">
        <v>230</v>
      </c>
      <c r="E411" s="38" t="s">
        <v>231</v>
      </c>
      <c r="F411" s="38" t="s">
        <v>229</v>
      </c>
      <c r="G411" s="135">
        <v>2.3769999999999998</v>
      </c>
      <c r="H411" s="28" t="s">
        <v>14</v>
      </c>
      <c r="I411" s="44">
        <v>350000</v>
      </c>
      <c r="J411" s="88" t="s">
        <v>15</v>
      </c>
      <c r="K411" s="82"/>
      <c r="L411" s="83"/>
    </row>
    <row r="412" spans="2:21" ht="21" x14ac:dyDescent="0.3">
      <c r="B412" s="33" t="s">
        <v>23</v>
      </c>
      <c r="C412" s="86" t="s">
        <v>183</v>
      </c>
      <c r="D412" s="86" t="s">
        <v>232</v>
      </c>
      <c r="E412" s="86"/>
      <c r="F412" s="38"/>
      <c r="G412" s="139">
        <v>2.2549999999999999</v>
      </c>
      <c r="H412" s="28" t="s">
        <v>14</v>
      </c>
      <c r="I412" s="41">
        <v>250000</v>
      </c>
      <c r="J412" s="35" t="s">
        <v>15</v>
      </c>
      <c r="K412" s="82"/>
      <c r="L412" s="83"/>
    </row>
    <row r="413" spans="2:21" ht="21" x14ac:dyDescent="0.3">
      <c r="B413" s="33" t="s">
        <v>40</v>
      </c>
      <c r="C413" s="38" t="s">
        <v>233</v>
      </c>
      <c r="D413" s="38">
        <v>34</v>
      </c>
      <c r="E413" s="38"/>
      <c r="F413" s="38" t="s">
        <v>234</v>
      </c>
      <c r="G413" s="135">
        <v>0.47899999999999998</v>
      </c>
      <c r="H413" s="28" t="s">
        <v>14</v>
      </c>
      <c r="I413" s="44">
        <v>280000</v>
      </c>
      <c r="J413" s="35" t="s">
        <v>15</v>
      </c>
      <c r="K413" s="59"/>
      <c r="L413" s="83"/>
    </row>
    <row r="414" spans="2:21" ht="21" x14ac:dyDescent="0.3">
      <c r="B414" s="33" t="s">
        <v>40</v>
      </c>
      <c r="C414" s="38" t="s">
        <v>233</v>
      </c>
      <c r="D414" s="38">
        <v>45</v>
      </c>
      <c r="E414" s="38"/>
      <c r="F414" s="38" t="s">
        <v>234</v>
      </c>
      <c r="G414" s="135">
        <v>2.5999999999999999E-2</v>
      </c>
      <c r="H414" s="28" t="s">
        <v>14</v>
      </c>
      <c r="I414" s="44">
        <v>280000</v>
      </c>
      <c r="J414" s="35" t="s">
        <v>15</v>
      </c>
      <c r="K414" s="59"/>
      <c r="L414" s="83"/>
    </row>
    <row r="415" spans="2:21" s="24" customFormat="1" ht="21" x14ac:dyDescent="0.3">
      <c r="B415" s="46" t="s">
        <v>40</v>
      </c>
      <c r="C415" s="47" t="s">
        <v>233</v>
      </c>
      <c r="D415" s="47">
        <v>60</v>
      </c>
      <c r="E415" s="47"/>
      <c r="F415" s="47" t="s">
        <v>235</v>
      </c>
      <c r="G415" s="136">
        <v>33.415999999999997</v>
      </c>
      <c r="H415" s="28" t="s">
        <v>14</v>
      </c>
      <c r="I415" s="50">
        <v>250000</v>
      </c>
      <c r="J415" s="68" t="s">
        <v>15</v>
      </c>
      <c r="K415" s="59"/>
      <c r="L415" s="83"/>
      <c r="M415" s="27"/>
      <c r="N415" s="27"/>
      <c r="O415" s="27"/>
      <c r="P415" s="27"/>
      <c r="Q415" s="27"/>
      <c r="R415" s="27"/>
      <c r="S415" s="27"/>
      <c r="T415" s="27"/>
      <c r="U415" s="27"/>
    </row>
    <row r="416" spans="2:21" s="24" customFormat="1" ht="21" x14ac:dyDescent="0.3">
      <c r="B416" s="46" t="s">
        <v>40</v>
      </c>
      <c r="C416" s="47" t="s">
        <v>233</v>
      </c>
      <c r="D416" s="47">
        <v>70</v>
      </c>
      <c r="E416" s="47"/>
      <c r="F416" s="47" t="s">
        <v>236</v>
      </c>
      <c r="G416" s="136">
        <v>4.7859999999999996</v>
      </c>
      <c r="H416" s="28" t="s">
        <v>14</v>
      </c>
      <c r="I416" s="50">
        <v>270000</v>
      </c>
      <c r="J416" s="68" t="s">
        <v>15</v>
      </c>
      <c r="K416" s="59"/>
      <c r="L416" s="83"/>
      <c r="M416" s="27"/>
      <c r="N416" s="27"/>
      <c r="O416" s="27"/>
      <c r="P416" s="27"/>
      <c r="Q416" s="27"/>
      <c r="R416" s="27"/>
      <c r="S416" s="27"/>
      <c r="T416" s="27"/>
      <c r="U416" s="27"/>
    </row>
    <row r="417" spans="2:21" s="24" customFormat="1" ht="21" x14ac:dyDescent="0.3">
      <c r="B417" s="46" t="s">
        <v>40</v>
      </c>
      <c r="C417" s="47" t="s">
        <v>233</v>
      </c>
      <c r="D417" s="47">
        <v>80</v>
      </c>
      <c r="E417" s="47"/>
      <c r="F417" s="47" t="s">
        <v>236</v>
      </c>
      <c r="G417" s="136">
        <v>16.469000000000001</v>
      </c>
      <c r="H417" s="28" t="s">
        <v>14</v>
      </c>
      <c r="I417" s="50">
        <v>250000</v>
      </c>
      <c r="J417" s="68" t="s">
        <v>15</v>
      </c>
      <c r="K417" s="59"/>
      <c r="L417" s="83"/>
      <c r="M417" s="27"/>
      <c r="N417" s="27"/>
      <c r="O417" s="27"/>
      <c r="P417" s="27"/>
      <c r="Q417" s="27"/>
      <c r="R417" s="27"/>
      <c r="S417" s="27"/>
      <c r="T417" s="27"/>
      <c r="U417" s="27"/>
    </row>
    <row r="418" spans="2:21" s="24" customFormat="1" ht="21" x14ac:dyDescent="0.3">
      <c r="B418" s="46" t="s">
        <v>40</v>
      </c>
      <c r="C418" s="47" t="s">
        <v>233</v>
      </c>
      <c r="D418" s="47">
        <v>90</v>
      </c>
      <c r="E418" s="47"/>
      <c r="F418" s="47" t="s">
        <v>236</v>
      </c>
      <c r="G418" s="136">
        <v>10.88</v>
      </c>
      <c r="H418" s="28" t="s">
        <v>14</v>
      </c>
      <c r="I418" s="50">
        <v>270000</v>
      </c>
      <c r="J418" s="68" t="s">
        <v>15</v>
      </c>
      <c r="K418" s="59"/>
      <c r="L418" s="83"/>
      <c r="M418" s="27"/>
      <c r="N418" s="27"/>
      <c r="O418" s="27"/>
      <c r="P418" s="27"/>
      <c r="Q418" s="27"/>
      <c r="R418" s="27"/>
      <c r="S418" s="27"/>
      <c r="T418" s="27"/>
      <c r="U418" s="27"/>
    </row>
    <row r="419" spans="2:21" s="24" customFormat="1" ht="21" x14ac:dyDescent="0.3">
      <c r="B419" s="46" t="s">
        <v>40</v>
      </c>
      <c r="C419" s="47" t="s">
        <v>233</v>
      </c>
      <c r="D419" s="47">
        <v>100</v>
      </c>
      <c r="E419" s="47"/>
      <c r="F419" s="47" t="s">
        <v>236</v>
      </c>
      <c r="G419" s="136">
        <v>4.51</v>
      </c>
      <c r="H419" s="28" t="s">
        <v>14</v>
      </c>
      <c r="I419" s="50">
        <v>270000</v>
      </c>
      <c r="J419" s="68" t="s">
        <v>15</v>
      </c>
      <c r="K419" s="59"/>
      <c r="L419" s="83"/>
      <c r="M419" s="27"/>
      <c r="N419" s="27"/>
      <c r="O419" s="27"/>
      <c r="P419" s="27"/>
      <c r="Q419" s="27"/>
      <c r="R419" s="27"/>
      <c r="S419" s="27"/>
      <c r="T419" s="27"/>
      <c r="U419" s="27"/>
    </row>
    <row r="420" spans="2:21" ht="21" x14ac:dyDescent="0.3">
      <c r="B420" s="46" t="s">
        <v>40</v>
      </c>
      <c r="C420" s="47" t="s">
        <v>233</v>
      </c>
      <c r="D420" s="47">
        <v>100</v>
      </c>
      <c r="E420" s="47"/>
      <c r="F420" s="47" t="s">
        <v>237</v>
      </c>
      <c r="G420" s="136">
        <v>0.26200000000000001</v>
      </c>
      <c r="H420" s="28" t="s">
        <v>14</v>
      </c>
      <c r="I420" s="50">
        <v>270000</v>
      </c>
      <c r="J420" s="68" t="s">
        <v>15</v>
      </c>
      <c r="K420" s="59"/>
      <c r="L420" s="83"/>
    </row>
    <row r="421" spans="2:21" ht="21" x14ac:dyDescent="0.3">
      <c r="B421" s="46" t="s">
        <v>40</v>
      </c>
      <c r="C421" s="47" t="s">
        <v>233</v>
      </c>
      <c r="D421" s="47">
        <v>110</v>
      </c>
      <c r="E421" s="47"/>
      <c r="F421" s="47" t="s">
        <v>238</v>
      </c>
      <c r="G421" s="136">
        <v>0</v>
      </c>
      <c r="H421" s="28" t="s">
        <v>14</v>
      </c>
      <c r="I421" s="50">
        <v>270000</v>
      </c>
      <c r="J421" s="68" t="s">
        <v>15</v>
      </c>
      <c r="K421" s="59"/>
      <c r="L421" s="83"/>
    </row>
    <row r="422" spans="2:21" s="24" customFormat="1" ht="21" x14ac:dyDescent="0.3">
      <c r="B422" s="33" t="s">
        <v>40</v>
      </c>
      <c r="C422" s="38" t="s">
        <v>233</v>
      </c>
      <c r="D422" s="38">
        <v>110</v>
      </c>
      <c r="E422" s="38"/>
      <c r="F422" s="38" t="s">
        <v>239</v>
      </c>
      <c r="G422" s="135">
        <v>0.151</v>
      </c>
      <c r="H422" s="28" t="s">
        <v>14</v>
      </c>
      <c r="I422" s="44">
        <v>270000</v>
      </c>
      <c r="J422" s="35" t="s">
        <v>15</v>
      </c>
      <c r="K422" s="59"/>
      <c r="L422" s="83"/>
      <c r="M422" s="27"/>
      <c r="N422" s="27"/>
      <c r="O422" s="27"/>
      <c r="P422" s="27"/>
      <c r="Q422" s="27"/>
      <c r="R422" s="27"/>
      <c r="S422" s="27"/>
      <c r="T422" s="27"/>
      <c r="U422" s="27"/>
    </row>
    <row r="423" spans="2:21" ht="21" x14ac:dyDescent="0.3">
      <c r="B423" s="33" t="s">
        <v>40</v>
      </c>
      <c r="C423" s="38" t="s">
        <v>233</v>
      </c>
      <c r="D423" s="38">
        <v>120</v>
      </c>
      <c r="E423" s="38"/>
      <c r="F423" s="38" t="s">
        <v>237</v>
      </c>
      <c r="G423" s="135">
        <v>0.44</v>
      </c>
      <c r="H423" s="28" t="s">
        <v>14</v>
      </c>
      <c r="I423" s="44">
        <v>250000</v>
      </c>
      <c r="J423" s="35" t="s">
        <v>15</v>
      </c>
      <c r="K423" s="59"/>
      <c r="L423" s="83"/>
    </row>
    <row r="424" spans="2:21" s="24" customFormat="1" ht="21" x14ac:dyDescent="0.3">
      <c r="B424" s="46" t="s">
        <v>40</v>
      </c>
      <c r="C424" s="47" t="s">
        <v>233</v>
      </c>
      <c r="D424" s="47">
        <v>120</v>
      </c>
      <c r="E424" s="47"/>
      <c r="F424" s="47" t="s">
        <v>239</v>
      </c>
      <c r="G424" s="136">
        <v>3.4969999999999999</v>
      </c>
      <c r="H424" s="28" t="s">
        <v>14</v>
      </c>
      <c r="I424" s="50">
        <v>270000</v>
      </c>
      <c r="J424" s="68" t="s">
        <v>15</v>
      </c>
      <c r="K424" s="59"/>
      <c r="L424" s="83"/>
      <c r="M424" s="27"/>
      <c r="N424" s="27"/>
      <c r="O424" s="27"/>
      <c r="P424" s="27"/>
      <c r="Q424" s="27"/>
      <c r="R424" s="27"/>
      <c r="S424" s="27"/>
      <c r="T424" s="27"/>
      <c r="U424" s="27"/>
    </row>
    <row r="425" spans="2:21" s="24" customFormat="1" ht="21" x14ac:dyDescent="0.3">
      <c r="B425" s="46" t="s">
        <v>40</v>
      </c>
      <c r="C425" s="47" t="s">
        <v>233</v>
      </c>
      <c r="D425" s="47">
        <v>130</v>
      </c>
      <c r="E425" s="47"/>
      <c r="F425" s="47" t="s">
        <v>239</v>
      </c>
      <c r="G425" s="136">
        <v>0.94299999999999995</v>
      </c>
      <c r="H425" s="28" t="s">
        <v>14</v>
      </c>
      <c r="I425" s="50">
        <v>270000</v>
      </c>
      <c r="J425" s="68" t="s">
        <v>15</v>
      </c>
      <c r="K425" s="59"/>
      <c r="L425" s="83"/>
      <c r="M425" s="27"/>
      <c r="N425" s="27"/>
      <c r="O425" s="27"/>
      <c r="P425" s="27"/>
      <c r="Q425" s="27"/>
      <c r="R425" s="27"/>
      <c r="S425" s="27"/>
      <c r="T425" s="27"/>
      <c r="U425" s="27"/>
    </row>
    <row r="426" spans="2:21" s="24" customFormat="1" ht="21" x14ac:dyDescent="0.3">
      <c r="B426" s="46" t="s">
        <v>40</v>
      </c>
      <c r="C426" s="47" t="s">
        <v>233</v>
      </c>
      <c r="D426" s="47">
        <v>150</v>
      </c>
      <c r="E426" s="47"/>
      <c r="F426" s="47" t="s">
        <v>240</v>
      </c>
      <c r="G426" s="136">
        <v>1.8149999999999999</v>
      </c>
      <c r="H426" s="28" t="s">
        <v>14</v>
      </c>
      <c r="I426" s="50">
        <v>270000</v>
      </c>
      <c r="J426" s="68" t="s">
        <v>15</v>
      </c>
      <c r="K426" s="59"/>
      <c r="L426" s="83"/>
      <c r="M426" s="27"/>
      <c r="N426" s="27"/>
      <c r="O426" s="27"/>
      <c r="P426" s="27"/>
      <c r="Q426" s="27"/>
      <c r="R426" s="27"/>
      <c r="S426" s="27"/>
      <c r="T426" s="27"/>
      <c r="U426" s="27"/>
    </row>
    <row r="427" spans="2:21" s="24" customFormat="1" ht="21" x14ac:dyDescent="0.3">
      <c r="B427" s="46" t="s">
        <v>40</v>
      </c>
      <c r="C427" s="47" t="s">
        <v>233</v>
      </c>
      <c r="D427" s="47">
        <v>160</v>
      </c>
      <c r="E427" s="47"/>
      <c r="F427" s="47" t="s">
        <v>239</v>
      </c>
      <c r="G427" s="136">
        <v>4.28</v>
      </c>
      <c r="H427" s="28" t="s">
        <v>14</v>
      </c>
      <c r="I427" s="50">
        <v>270000</v>
      </c>
      <c r="J427" s="68" t="s">
        <v>15</v>
      </c>
      <c r="K427" s="59"/>
      <c r="L427" s="83"/>
      <c r="M427" s="27"/>
      <c r="N427" s="27"/>
      <c r="O427" s="27"/>
      <c r="P427" s="27"/>
      <c r="Q427" s="27"/>
      <c r="R427" s="27"/>
      <c r="S427" s="27"/>
      <c r="T427" s="27"/>
      <c r="U427" s="27"/>
    </row>
    <row r="428" spans="2:21" s="24" customFormat="1" ht="21" x14ac:dyDescent="0.3">
      <c r="B428" s="46" t="s">
        <v>40</v>
      </c>
      <c r="C428" s="47" t="s">
        <v>233</v>
      </c>
      <c r="D428" s="47">
        <v>170</v>
      </c>
      <c r="E428" s="47"/>
      <c r="F428" s="47" t="s">
        <v>239</v>
      </c>
      <c r="G428" s="136">
        <v>3.355</v>
      </c>
      <c r="H428" s="28" t="s">
        <v>14</v>
      </c>
      <c r="I428" s="50">
        <v>270000</v>
      </c>
      <c r="J428" s="68" t="s">
        <v>15</v>
      </c>
      <c r="K428" s="59"/>
      <c r="L428" s="83"/>
      <c r="M428" s="27"/>
      <c r="N428" s="27"/>
      <c r="O428" s="27"/>
      <c r="P428" s="27"/>
      <c r="Q428" s="27"/>
      <c r="R428" s="27"/>
      <c r="S428" s="27"/>
      <c r="T428" s="27"/>
      <c r="U428" s="27"/>
    </row>
    <row r="429" spans="2:21" s="24" customFormat="1" ht="21" x14ac:dyDescent="0.3">
      <c r="B429" s="46" t="s">
        <v>40</v>
      </c>
      <c r="C429" s="47" t="s">
        <v>233</v>
      </c>
      <c r="D429" s="47">
        <v>180</v>
      </c>
      <c r="E429" s="47"/>
      <c r="F429" s="47" t="s">
        <v>241</v>
      </c>
      <c r="G429" s="136">
        <v>2.7410000000000001</v>
      </c>
      <c r="H429" s="28" t="s">
        <v>14</v>
      </c>
      <c r="I429" s="50">
        <v>270000</v>
      </c>
      <c r="J429" s="68" t="s">
        <v>15</v>
      </c>
      <c r="K429" s="59"/>
      <c r="L429" s="83"/>
      <c r="M429" s="27"/>
      <c r="N429" s="27"/>
      <c r="O429" s="27"/>
      <c r="P429" s="27"/>
      <c r="Q429" s="27"/>
      <c r="R429" s="27"/>
      <c r="S429" s="27"/>
      <c r="T429" s="27"/>
      <c r="U429" s="27"/>
    </row>
    <row r="430" spans="2:21" s="24" customFormat="1" ht="21" x14ac:dyDescent="0.3">
      <c r="B430" s="46" t="s">
        <v>40</v>
      </c>
      <c r="C430" s="47" t="s">
        <v>233</v>
      </c>
      <c r="D430" s="47">
        <v>210</v>
      </c>
      <c r="E430" s="47"/>
      <c r="F430" s="47" t="s">
        <v>241</v>
      </c>
      <c r="G430" s="136">
        <v>0.23</v>
      </c>
      <c r="H430" s="28" t="s">
        <v>14</v>
      </c>
      <c r="I430" s="50">
        <v>270000</v>
      </c>
      <c r="J430" s="68" t="s">
        <v>15</v>
      </c>
      <c r="K430" s="59"/>
      <c r="L430" s="83"/>
      <c r="M430" s="27"/>
      <c r="N430" s="27"/>
      <c r="O430" s="27"/>
      <c r="P430" s="27"/>
      <c r="Q430" s="27"/>
      <c r="R430" s="27"/>
      <c r="S430" s="27"/>
      <c r="T430" s="27"/>
      <c r="U430" s="27"/>
    </row>
    <row r="431" spans="2:21" s="24" customFormat="1" ht="21" x14ac:dyDescent="0.3">
      <c r="B431" s="46" t="s">
        <v>40</v>
      </c>
      <c r="C431" s="47" t="s">
        <v>233</v>
      </c>
      <c r="D431" s="47">
        <v>210</v>
      </c>
      <c r="E431" s="47"/>
      <c r="F431" s="47"/>
      <c r="G431" s="136">
        <v>3.8079999999999998</v>
      </c>
      <c r="H431" s="28" t="s">
        <v>14</v>
      </c>
      <c r="I431" s="50">
        <v>270000</v>
      </c>
      <c r="J431" s="68" t="s">
        <v>15</v>
      </c>
      <c r="K431" s="59"/>
      <c r="L431" s="83"/>
      <c r="M431" s="27"/>
      <c r="N431" s="27"/>
      <c r="O431" s="27"/>
      <c r="P431" s="27"/>
      <c r="Q431" s="27"/>
      <c r="R431" s="27"/>
      <c r="S431" s="27"/>
      <c r="T431" s="27"/>
      <c r="U431" s="27"/>
    </row>
    <row r="432" spans="2:21" s="24" customFormat="1" ht="21" x14ac:dyDescent="0.3">
      <c r="B432" s="46" t="s">
        <v>40</v>
      </c>
      <c r="C432" s="47" t="s">
        <v>233</v>
      </c>
      <c r="D432" s="47">
        <v>230</v>
      </c>
      <c r="E432" s="47"/>
      <c r="F432" s="47"/>
      <c r="G432" s="136">
        <v>0</v>
      </c>
      <c r="H432" s="28" t="s">
        <v>14</v>
      </c>
      <c r="I432" s="50">
        <v>270000</v>
      </c>
      <c r="J432" s="68" t="s">
        <v>15</v>
      </c>
      <c r="K432" s="59"/>
      <c r="L432" s="83"/>
      <c r="M432" s="27"/>
      <c r="N432" s="27"/>
      <c r="O432" s="27"/>
      <c r="P432" s="27"/>
      <c r="Q432" s="27"/>
      <c r="R432" s="27"/>
      <c r="S432" s="27"/>
      <c r="T432" s="27"/>
      <c r="U432" s="27"/>
    </row>
    <row r="433" spans="2:21" s="18" customFormat="1" ht="21" x14ac:dyDescent="0.3">
      <c r="B433" s="74" t="s">
        <v>147</v>
      </c>
      <c r="C433" s="54" t="s">
        <v>233</v>
      </c>
      <c r="D433" s="54">
        <v>260</v>
      </c>
      <c r="E433" s="54"/>
      <c r="F433" s="54" t="s">
        <v>242</v>
      </c>
      <c r="G433" s="135">
        <v>1.2969999999999999</v>
      </c>
      <c r="H433" s="28" t="s">
        <v>14</v>
      </c>
      <c r="I433" s="44">
        <v>245000</v>
      </c>
      <c r="J433" s="35" t="s">
        <v>15</v>
      </c>
      <c r="K433" s="59"/>
      <c r="L433" s="43"/>
    </row>
    <row r="434" spans="2:21" s="18" customFormat="1" ht="21" x14ac:dyDescent="0.3">
      <c r="B434" s="74" t="s">
        <v>147</v>
      </c>
      <c r="C434" s="54" t="s">
        <v>233</v>
      </c>
      <c r="D434" s="54">
        <v>260</v>
      </c>
      <c r="E434" s="54"/>
      <c r="F434" s="54" t="s">
        <v>242</v>
      </c>
      <c r="G434" s="135">
        <v>1.34</v>
      </c>
      <c r="H434" s="28" t="s">
        <v>14</v>
      </c>
      <c r="I434" s="44">
        <v>245000</v>
      </c>
      <c r="J434" s="35" t="s">
        <v>15</v>
      </c>
      <c r="K434" s="59"/>
      <c r="L434" s="43"/>
    </row>
    <row r="435" spans="2:21" s="24" customFormat="1" ht="21" x14ac:dyDescent="0.3">
      <c r="B435" s="46" t="s">
        <v>40</v>
      </c>
      <c r="C435" s="47" t="s">
        <v>243</v>
      </c>
      <c r="D435" s="47">
        <v>50</v>
      </c>
      <c r="E435" s="46" t="s">
        <v>244</v>
      </c>
      <c r="F435" s="47" t="s">
        <v>245</v>
      </c>
      <c r="G435" s="136">
        <v>4.3689999999999998</v>
      </c>
      <c r="H435" s="28" t="s">
        <v>14</v>
      </c>
      <c r="I435" s="58">
        <v>480000</v>
      </c>
      <c r="J435" s="68" t="s">
        <v>15</v>
      </c>
      <c r="K435" s="59"/>
      <c r="L435" s="83"/>
      <c r="M435" s="27"/>
      <c r="N435" s="27"/>
      <c r="O435" s="27"/>
      <c r="P435" s="27"/>
      <c r="Q435" s="27"/>
      <c r="R435" s="27"/>
      <c r="S435" s="27"/>
      <c r="T435" s="27"/>
      <c r="U435" s="27"/>
    </row>
    <row r="436" spans="2:21" s="24" customFormat="1" ht="21" x14ac:dyDescent="0.3">
      <c r="B436" s="46" t="s">
        <v>40</v>
      </c>
      <c r="C436" s="47" t="s">
        <v>243</v>
      </c>
      <c r="D436" s="47">
        <v>53</v>
      </c>
      <c r="E436" s="46" t="s">
        <v>246</v>
      </c>
      <c r="F436" s="47"/>
      <c r="G436" s="136">
        <v>7.8520000000000003</v>
      </c>
      <c r="H436" s="28" t="s">
        <v>14</v>
      </c>
      <c r="I436" s="58">
        <v>480000</v>
      </c>
      <c r="J436" s="68" t="s">
        <v>15</v>
      </c>
      <c r="K436" s="59"/>
      <c r="L436" s="83"/>
      <c r="M436" s="27"/>
      <c r="N436" s="27"/>
      <c r="O436" s="27"/>
      <c r="P436" s="27"/>
      <c r="Q436" s="27"/>
      <c r="R436" s="27"/>
      <c r="S436" s="27"/>
      <c r="T436" s="27"/>
      <c r="U436" s="27"/>
    </row>
    <row r="437" spans="2:21" s="24" customFormat="1" ht="21" x14ac:dyDescent="0.3">
      <c r="B437" s="46" t="s">
        <v>40</v>
      </c>
      <c r="C437" s="47" t="s">
        <v>243</v>
      </c>
      <c r="D437" s="47">
        <v>56</v>
      </c>
      <c r="E437" s="46" t="s">
        <v>247</v>
      </c>
      <c r="F437" s="47" t="s">
        <v>245</v>
      </c>
      <c r="G437" s="136">
        <v>4.51</v>
      </c>
      <c r="H437" s="28" t="s">
        <v>14</v>
      </c>
      <c r="I437" s="58">
        <v>480000</v>
      </c>
      <c r="J437" s="68" t="s">
        <v>15</v>
      </c>
      <c r="K437" s="59"/>
      <c r="L437" s="83"/>
      <c r="M437" s="27"/>
      <c r="N437" s="27"/>
      <c r="O437" s="27"/>
      <c r="P437" s="27"/>
      <c r="Q437" s="27"/>
      <c r="R437" s="27"/>
      <c r="S437" s="27"/>
      <c r="T437" s="27"/>
      <c r="U437" s="27"/>
    </row>
    <row r="438" spans="2:21" s="24" customFormat="1" ht="21" x14ac:dyDescent="0.3">
      <c r="B438" s="46" t="s">
        <v>40</v>
      </c>
      <c r="C438" s="47" t="s">
        <v>243</v>
      </c>
      <c r="D438" s="47">
        <v>60</v>
      </c>
      <c r="E438" s="46" t="s">
        <v>248</v>
      </c>
      <c r="F438" s="47" t="s">
        <v>245</v>
      </c>
      <c r="G438" s="136">
        <v>7.66</v>
      </c>
      <c r="H438" s="28" t="s">
        <v>14</v>
      </c>
      <c r="I438" s="58">
        <v>480000</v>
      </c>
      <c r="J438" s="68" t="s">
        <v>15</v>
      </c>
      <c r="K438" s="59"/>
      <c r="L438" s="83"/>
      <c r="M438" s="27"/>
      <c r="N438" s="27"/>
      <c r="O438" s="27"/>
      <c r="P438" s="27"/>
      <c r="Q438" s="27"/>
      <c r="R438" s="27"/>
      <c r="S438" s="27"/>
      <c r="T438" s="27"/>
      <c r="U438" s="27"/>
    </row>
    <row r="439" spans="2:21" s="24" customFormat="1" ht="21" x14ac:dyDescent="0.3">
      <c r="B439" s="46" t="s">
        <v>40</v>
      </c>
      <c r="C439" s="47" t="s">
        <v>243</v>
      </c>
      <c r="D439" s="47">
        <v>61</v>
      </c>
      <c r="E439" s="46">
        <v>4.83</v>
      </c>
      <c r="F439" s="47" t="s">
        <v>249</v>
      </c>
      <c r="G439" s="136">
        <v>0.3</v>
      </c>
      <c r="H439" s="28" t="s">
        <v>14</v>
      </c>
      <c r="I439" s="58">
        <v>450000</v>
      </c>
      <c r="J439" s="68" t="s">
        <v>15</v>
      </c>
      <c r="K439" s="59"/>
      <c r="L439" s="83"/>
      <c r="M439" s="27"/>
      <c r="N439" s="27"/>
      <c r="O439" s="27"/>
      <c r="P439" s="27"/>
      <c r="Q439" s="27"/>
      <c r="R439" s="27"/>
      <c r="S439" s="27"/>
      <c r="T439" s="27"/>
      <c r="U439" s="27"/>
    </row>
    <row r="440" spans="2:21" s="24" customFormat="1" ht="21" x14ac:dyDescent="0.3">
      <c r="B440" s="46" t="s">
        <v>40</v>
      </c>
      <c r="C440" s="47" t="s">
        <v>243</v>
      </c>
      <c r="D440" s="47">
        <v>105</v>
      </c>
      <c r="E440" s="46" t="s">
        <v>246</v>
      </c>
      <c r="F440" s="47" t="s">
        <v>245</v>
      </c>
      <c r="G440" s="136">
        <v>2.8919999999999999</v>
      </c>
      <c r="H440" s="28" t="s">
        <v>14</v>
      </c>
      <c r="I440" s="58">
        <v>480000</v>
      </c>
      <c r="J440" s="68" t="s">
        <v>15</v>
      </c>
      <c r="K440" s="59"/>
      <c r="L440" s="83"/>
      <c r="M440" s="27"/>
      <c r="N440" s="27"/>
      <c r="O440" s="27"/>
      <c r="P440" s="27"/>
      <c r="Q440" s="27"/>
      <c r="R440" s="27"/>
      <c r="S440" s="27"/>
      <c r="T440" s="27"/>
      <c r="U440" s="27"/>
    </row>
    <row r="441" spans="2:21" s="24" customFormat="1" ht="21" x14ac:dyDescent="0.3">
      <c r="B441" s="46" t="s">
        <v>40</v>
      </c>
      <c r="C441" s="47" t="s">
        <v>243</v>
      </c>
      <c r="D441" s="47">
        <v>120</v>
      </c>
      <c r="E441" s="46" t="s">
        <v>246</v>
      </c>
      <c r="F441" s="47" t="s">
        <v>245</v>
      </c>
      <c r="G441" s="136">
        <v>4.5129999999999999</v>
      </c>
      <c r="H441" s="28" t="s">
        <v>14</v>
      </c>
      <c r="I441" s="58">
        <v>480000</v>
      </c>
      <c r="J441" s="68" t="s">
        <v>15</v>
      </c>
      <c r="K441" s="59"/>
      <c r="L441" s="83"/>
      <c r="M441" s="27"/>
      <c r="N441" s="27"/>
      <c r="O441" s="27"/>
      <c r="P441" s="27"/>
      <c r="Q441" s="27"/>
      <c r="R441" s="27"/>
      <c r="S441" s="27"/>
      <c r="T441" s="27"/>
      <c r="U441" s="27"/>
    </row>
    <row r="442" spans="2:21" s="24" customFormat="1" ht="21" x14ac:dyDescent="0.3">
      <c r="B442" s="64" t="s">
        <v>40</v>
      </c>
      <c r="C442" s="65" t="s">
        <v>250</v>
      </c>
      <c r="D442" s="65">
        <v>20</v>
      </c>
      <c r="E442" s="65"/>
      <c r="F442" s="65" t="s">
        <v>251</v>
      </c>
      <c r="G442" s="137">
        <v>2.6120000000000001</v>
      </c>
      <c r="H442" s="28" t="s">
        <v>14</v>
      </c>
      <c r="I442" s="89">
        <v>300000</v>
      </c>
      <c r="J442" s="90" t="s">
        <v>15</v>
      </c>
      <c r="K442" s="59"/>
      <c r="L442" s="83"/>
      <c r="M442" s="27"/>
      <c r="N442" s="27"/>
      <c r="O442" s="27"/>
      <c r="P442" s="27"/>
      <c r="Q442" s="27"/>
      <c r="R442" s="27"/>
      <c r="S442" s="27"/>
      <c r="T442" s="27"/>
      <c r="U442" s="27"/>
    </row>
    <row r="443" spans="2:21" s="24" customFormat="1" ht="18.75" x14ac:dyDescent="0.3">
      <c r="B443" s="33" t="s">
        <v>40</v>
      </c>
      <c r="C443" s="38" t="s">
        <v>250</v>
      </c>
      <c r="D443" s="38">
        <v>24</v>
      </c>
      <c r="E443" s="38"/>
      <c r="F443" s="38"/>
      <c r="G443" s="135">
        <v>2.1000000000000001E-2</v>
      </c>
      <c r="H443" s="75"/>
      <c r="I443" s="41">
        <v>280000</v>
      </c>
      <c r="J443" s="35" t="s">
        <v>15</v>
      </c>
      <c r="K443" s="59"/>
      <c r="L443" s="83"/>
      <c r="M443" s="27"/>
      <c r="N443" s="27"/>
      <c r="O443" s="27"/>
      <c r="P443" s="27"/>
      <c r="Q443" s="27"/>
      <c r="R443" s="27"/>
      <c r="S443" s="27"/>
      <c r="T443" s="27"/>
      <c r="U443" s="27"/>
    </row>
    <row r="444" spans="2:21" ht="21" x14ac:dyDescent="0.3">
      <c r="B444" s="33" t="s">
        <v>40</v>
      </c>
      <c r="C444" s="38" t="s">
        <v>250</v>
      </c>
      <c r="D444" s="38">
        <v>25</v>
      </c>
      <c r="E444" s="38"/>
      <c r="F444" s="38" t="s">
        <v>251</v>
      </c>
      <c r="G444" s="135">
        <v>1.645</v>
      </c>
      <c r="H444" s="28" t="s">
        <v>14</v>
      </c>
      <c r="I444" s="41">
        <v>300000</v>
      </c>
      <c r="J444" s="35" t="s">
        <v>15</v>
      </c>
      <c r="K444" s="52"/>
      <c r="L444" s="83"/>
    </row>
    <row r="445" spans="2:21" ht="18.75" x14ac:dyDescent="0.3">
      <c r="B445" s="33" t="s">
        <v>40</v>
      </c>
      <c r="C445" s="38" t="s">
        <v>250</v>
      </c>
      <c r="D445" s="38">
        <v>26</v>
      </c>
      <c r="E445" s="38"/>
      <c r="F445" s="38"/>
      <c r="G445" s="135">
        <v>3.5999999999999997E-2</v>
      </c>
      <c r="H445" s="45"/>
      <c r="I445" s="41">
        <v>280000</v>
      </c>
      <c r="J445" s="35" t="s">
        <v>15</v>
      </c>
      <c r="K445" s="52"/>
      <c r="L445" s="83"/>
    </row>
    <row r="446" spans="2:21" s="25" customFormat="1" ht="21" x14ac:dyDescent="0.3">
      <c r="B446" s="64" t="s">
        <v>40</v>
      </c>
      <c r="C446" s="65" t="s">
        <v>250</v>
      </c>
      <c r="D446" s="65">
        <v>30</v>
      </c>
      <c r="E446" s="65"/>
      <c r="F446" s="65" t="s">
        <v>251</v>
      </c>
      <c r="G446" s="137">
        <v>4.6349999999999998</v>
      </c>
      <c r="H446" s="28" t="s">
        <v>14</v>
      </c>
      <c r="I446" s="89">
        <v>300000</v>
      </c>
      <c r="J446" s="90" t="s">
        <v>15</v>
      </c>
      <c r="K446" s="59"/>
      <c r="L446" s="83"/>
      <c r="M446" s="27"/>
      <c r="N446" s="27"/>
      <c r="O446" s="27"/>
      <c r="P446" s="27"/>
      <c r="Q446" s="27"/>
      <c r="R446" s="27"/>
      <c r="S446" s="27"/>
      <c r="T446" s="27"/>
      <c r="U446" s="27"/>
    </row>
    <row r="447" spans="2:21" s="25" customFormat="1" ht="21" x14ac:dyDescent="0.3">
      <c r="B447" s="64" t="s">
        <v>40</v>
      </c>
      <c r="C447" s="65" t="s">
        <v>250</v>
      </c>
      <c r="D447" s="65">
        <v>36</v>
      </c>
      <c r="E447" s="65"/>
      <c r="F447" s="65" t="s">
        <v>251</v>
      </c>
      <c r="G447" s="137">
        <v>1.4630000000000001</v>
      </c>
      <c r="H447" s="28" t="s">
        <v>14</v>
      </c>
      <c r="I447" s="89">
        <v>300000</v>
      </c>
      <c r="J447" s="90" t="s">
        <v>15</v>
      </c>
      <c r="K447" s="59"/>
      <c r="L447" s="83"/>
      <c r="M447" s="27"/>
      <c r="N447" s="27"/>
      <c r="O447" s="27"/>
      <c r="P447" s="27"/>
      <c r="Q447" s="27"/>
      <c r="R447" s="27"/>
      <c r="S447" s="27"/>
      <c r="T447" s="27"/>
      <c r="U447" s="27"/>
    </row>
    <row r="448" spans="2:21" s="25" customFormat="1" ht="21" x14ac:dyDescent="0.3">
      <c r="B448" s="64" t="s">
        <v>40</v>
      </c>
      <c r="C448" s="65" t="s">
        <v>250</v>
      </c>
      <c r="D448" s="65">
        <v>40</v>
      </c>
      <c r="E448" s="65"/>
      <c r="F448" s="65" t="s">
        <v>251</v>
      </c>
      <c r="G448" s="137">
        <v>3.1480000000000001</v>
      </c>
      <c r="H448" s="28" t="s">
        <v>14</v>
      </c>
      <c r="I448" s="89">
        <v>300000</v>
      </c>
      <c r="J448" s="90" t="s">
        <v>15</v>
      </c>
      <c r="K448" s="59"/>
      <c r="L448" s="83"/>
      <c r="M448" s="27"/>
      <c r="N448" s="27"/>
      <c r="O448" s="27"/>
      <c r="P448" s="27"/>
      <c r="Q448" s="27"/>
      <c r="R448" s="27"/>
      <c r="S448" s="27"/>
      <c r="T448" s="27"/>
      <c r="U448" s="27"/>
    </row>
    <row r="449" spans="2:21" s="25" customFormat="1" ht="21" x14ac:dyDescent="0.3">
      <c r="B449" s="64" t="s">
        <v>40</v>
      </c>
      <c r="C449" s="65" t="s">
        <v>250</v>
      </c>
      <c r="D449" s="65">
        <v>45</v>
      </c>
      <c r="E449" s="65"/>
      <c r="F449" s="65" t="s">
        <v>251</v>
      </c>
      <c r="G449" s="137">
        <v>3.2320000000000002</v>
      </c>
      <c r="H449" s="28" t="s">
        <v>14</v>
      </c>
      <c r="I449" s="89">
        <v>300000</v>
      </c>
      <c r="J449" s="90" t="s">
        <v>15</v>
      </c>
      <c r="K449" s="59"/>
      <c r="L449" s="83"/>
      <c r="M449" s="27"/>
      <c r="N449" s="27"/>
      <c r="O449" s="27"/>
      <c r="P449" s="27"/>
      <c r="Q449" s="27"/>
      <c r="R449" s="27"/>
      <c r="S449" s="27"/>
      <c r="T449" s="27"/>
      <c r="U449" s="27"/>
    </row>
    <row r="450" spans="2:21" s="25" customFormat="1" ht="21" x14ac:dyDescent="0.3">
      <c r="B450" s="64" t="s">
        <v>40</v>
      </c>
      <c r="C450" s="65" t="s">
        <v>250</v>
      </c>
      <c r="D450" s="65">
        <v>50</v>
      </c>
      <c r="E450" s="65"/>
      <c r="F450" s="65" t="s">
        <v>251</v>
      </c>
      <c r="G450" s="137">
        <v>2.7210000000000001</v>
      </c>
      <c r="H450" s="28" t="s">
        <v>14</v>
      </c>
      <c r="I450" s="58">
        <v>300000</v>
      </c>
      <c r="J450" s="90" t="s">
        <v>15</v>
      </c>
      <c r="K450" s="59"/>
      <c r="L450" s="83"/>
      <c r="M450" s="27"/>
      <c r="N450" s="27"/>
      <c r="O450" s="27"/>
      <c r="P450" s="27"/>
      <c r="Q450" s="27"/>
      <c r="R450" s="27"/>
      <c r="S450" s="27"/>
      <c r="T450" s="27"/>
      <c r="U450" s="27"/>
    </row>
    <row r="451" spans="2:21" ht="21" x14ac:dyDescent="0.3">
      <c r="B451" s="33" t="s">
        <v>40</v>
      </c>
      <c r="C451" s="38" t="s">
        <v>250</v>
      </c>
      <c r="D451" s="38">
        <v>50</v>
      </c>
      <c r="E451" s="38"/>
      <c r="F451" s="38" t="s">
        <v>252</v>
      </c>
      <c r="G451" s="135">
        <v>8.4000000000000005E-2</v>
      </c>
      <c r="H451" s="28" t="s">
        <v>14</v>
      </c>
      <c r="I451" s="41">
        <v>300000</v>
      </c>
      <c r="J451" s="35" t="s">
        <v>15</v>
      </c>
      <c r="K451" s="82"/>
      <c r="L451" s="83"/>
    </row>
    <row r="452" spans="2:21" ht="21" x14ac:dyDescent="0.3">
      <c r="B452" s="46" t="s">
        <v>40</v>
      </c>
      <c r="C452" s="47" t="s">
        <v>250</v>
      </c>
      <c r="D452" s="47">
        <v>60</v>
      </c>
      <c r="E452" s="47"/>
      <c r="F452" s="47" t="s">
        <v>253</v>
      </c>
      <c r="G452" s="137">
        <v>2.3319999999999999</v>
      </c>
      <c r="H452" s="28" t="s">
        <v>14</v>
      </c>
      <c r="I452" s="58">
        <v>300000</v>
      </c>
      <c r="J452" s="68" t="s">
        <v>15</v>
      </c>
      <c r="K452" s="82"/>
      <c r="L452" s="83"/>
    </row>
    <row r="453" spans="2:21" s="24" customFormat="1" ht="21" x14ac:dyDescent="0.3">
      <c r="B453" s="46" t="s">
        <v>40</v>
      </c>
      <c r="C453" s="47" t="s">
        <v>250</v>
      </c>
      <c r="D453" s="47">
        <v>60</v>
      </c>
      <c r="E453" s="47"/>
      <c r="F453" s="47" t="s">
        <v>253</v>
      </c>
      <c r="G453" s="136">
        <v>1.0069999999999999</v>
      </c>
      <c r="H453" s="28" t="s">
        <v>14</v>
      </c>
      <c r="I453" s="89">
        <v>300000</v>
      </c>
      <c r="J453" s="68" t="s">
        <v>15</v>
      </c>
      <c r="K453" s="59"/>
      <c r="L453" s="83"/>
      <c r="M453" s="27"/>
      <c r="N453" s="27"/>
      <c r="O453" s="27"/>
      <c r="P453" s="27"/>
      <c r="Q453" s="27"/>
      <c r="R453" s="27"/>
      <c r="S453" s="27"/>
      <c r="T453" s="27"/>
      <c r="U453" s="27"/>
    </row>
    <row r="454" spans="2:21" s="24" customFormat="1" ht="21" x14ac:dyDescent="0.3">
      <c r="B454" s="64" t="s">
        <v>40</v>
      </c>
      <c r="C454" s="65" t="s">
        <v>250</v>
      </c>
      <c r="D454" s="65">
        <v>70</v>
      </c>
      <c r="E454" s="65"/>
      <c r="F454" s="65" t="s">
        <v>251</v>
      </c>
      <c r="G454" s="137">
        <v>3.2759999999999998</v>
      </c>
      <c r="H454" s="28" t="s">
        <v>14</v>
      </c>
      <c r="I454" s="89">
        <v>300000</v>
      </c>
      <c r="J454" s="68" t="s">
        <v>15</v>
      </c>
      <c r="K454" s="59"/>
      <c r="L454" s="83"/>
      <c r="M454" s="27"/>
      <c r="N454" s="27"/>
      <c r="O454" s="27"/>
      <c r="P454" s="27"/>
      <c r="Q454" s="27"/>
      <c r="R454" s="27"/>
      <c r="S454" s="27"/>
      <c r="T454" s="27"/>
      <c r="U454" s="27"/>
    </row>
    <row r="455" spans="2:21" ht="21" x14ac:dyDescent="0.3">
      <c r="B455" s="33" t="s">
        <v>40</v>
      </c>
      <c r="C455" s="38" t="s">
        <v>250</v>
      </c>
      <c r="D455" s="38">
        <v>70</v>
      </c>
      <c r="E455" s="38"/>
      <c r="F455" s="38"/>
      <c r="G455" s="135">
        <v>0.45200000000000001</v>
      </c>
      <c r="H455" s="28" t="s">
        <v>14</v>
      </c>
      <c r="I455" s="41">
        <v>300000</v>
      </c>
      <c r="J455" s="35" t="s">
        <v>15</v>
      </c>
      <c r="K455" s="59"/>
      <c r="L455" s="83"/>
    </row>
    <row r="456" spans="2:21" ht="21" x14ac:dyDescent="0.3">
      <c r="B456" s="33" t="s">
        <v>40</v>
      </c>
      <c r="C456" s="38" t="s">
        <v>250</v>
      </c>
      <c r="D456" s="38">
        <v>80</v>
      </c>
      <c r="E456" s="38"/>
      <c r="F456" s="38" t="s">
        <v>92</v>
      </c>
      <c r="G456" s="135">
        <v>0.61099999999999999</v>
      </c>
      <c r="H456" s="28" t="s">
        <v>14</v>
      </c>
      <c r="I456" s="41">
        <v>300000</v>
      </c>
      <c r="J456" s="35" t="s">
        <v>15</v>
      </c>
      <c r="K456" s="82"/>
      <c r="L456" s="83"/>
    </row>
    <row r="457" spans="2:21" ht="21" x14ac:dyDescent="0.3">
      <c r="B457" s="33" t="s">
        <v>40</v>
      </c>
      <c r="C457" s="38" t="s">
        <v>250</v>
      </c>
      <c r="D457" s="38">
        <v>90</v>
      </c>
      <c r="E457" s="38"/>
      <c r="F457" s="38" t="s">
        <v>254</v>
      </c>
      <c r="G457" s="135">
        <v>3.5999999999999997E-2</v>
      </c>
      <c r="H457" s="28" t="s">
        <v>14</v>
      </c>
      <c r="I457" s="41">
        <v>300000</v>
      </c>
      <c r="J457" s="35" t="s">
        <v>15</v>
      </c>
      <c r="K457" s="69"/>
      <c r="L457" s="83"/>
    </row>
    <row r="458" spans="2:21" ht="18.75" x14ac:dyDescent="0.3">
      <c r="B458" s="33" t="s">
        <v>40</v>
      </c>
      <c r="C458" s="38" t="s">
        <v>250</v>
      </c>
      <c r="D458" s="38">
        <v>95</v>
      </c>
      <c r="E458" s="38"/>
      <c r="F458" s="38" t="s">
        <v>255</v>
      </c>
      <c r="G458" s="135">
        <v>0.14000000000000001</v>
      </c>
      <c r="H458" s="45" t="s">
        <v>20</v>
      </c>
      <c r="I458" s="41">
        <v>300000</v>
      </c>
      <c r="J458" s="35" t="s">
        <v>15</v>
      </c>
      <c r="K458" s="87"/>
      <c r="L458" s="83"/>
    </row>
    <row r="459" spans="2:21" s="24" customFormat="1" ht="21" x14ac:dyDescent="0.3">
      <c r="B459" s="46" t="s">
        <v>40</v>
      </c>
      <c r="C459" s="47" t="s">
        <v>250</v>
      </c>
      <c r="D459" s="47">
        <v>100</v>
      </c>
      <c r="E459" s="47"/>
      <c r="F459" s="47" t="s">
        <v>256</v>
      </c>
      <c r="G459" s="136">
        <v>3.8879999999999999</v>
      </c>
      <c r="H459" s="28" t="s">
        <v>14</v>
      </c>
      <c r="I459" s="89">
        <v>300000</v>
      </c>
      <c r="J459" s="68" t="s">
        <v>15</v>
      </c>
      <c r="K459" s="82"/>
      <c r="L459" s="83"/>
      <c r="M459" s="27"/>
      <c r="N459" s="27"/>
      <c r="O459" s="27"/>
      <c r="P459" s="27"/>
      <c r="Q459" s="27"/>
      <c r="R459" s="27"/>
      <c r="S459" s="27"/>
      <c r="T459" s="27"/>
      <c r="U459" s="27"/>
    </row>
    <row r="460" spans="2:21" s="24" customFormat="1" ht="21" x14ac:dyDescent="0.3">
      <c r="B460" s="46" t="s">
        <v>40</v>
      </c>
      <c r="C460" s="47" t="s">
        <v>250</v>
      </c>
      <c r="D460" s="47">
        <v>110</v>
      </c>
      <c r="E460" s="47"/>
      <c r="F460" s="47"/>
      <c r="G460" s="136">
        <v>5</v>
      </c>
      <c r="H460" s="28" t="s">
        <v>14</v>
      </c>
      <c r="I460" s="89"/>
      <c r="J460" s="68" t="s">
        <v>189</v>
      </c>
      <c r="K460" s="82"/>
      <c r="L460" s="83"/>
      <c r="M460" s="27"/>
      <c r="N460" s="27"/>
      <c r="O460" s="27"/>
      <c r="P460" s="27"/>
      <c r="Q460" s="27"/>
      <c r="R460" s="27"/>
      <c r="S460" s="27"/>
      <c r="T460" s="27"/>
      <c r="U460" s="27"/>
    </row>
    <row r="461" spans="2:21" ht="21" x14ac:dyDescent="0.3">
      <c r="B461" s="46" t="s">
        <v>40</v>
      </c>
      <c r="C461" s="38" t="s">
        <v>250</v>
      </c>
      <c r="D461" s="38">
        <v>120</v>
      </c>
      <c r="E461" s="38"/>
      <c r="F461" s="38" t="s">
        <v>256</v>
      </c>
      <c r="G461" s="135">
        <v>9.0630000000000006</v>
      </c>
      <c r="H461" s="28" t="s">
        <v>14</v>
      </c>
      <c r="I461" s="41">
        <v>300000</v>
      </c>
      <c r="J461" s="35" t="s">
        <v>15</v>
      </c>
      <c r="K461" s="82"/>
      <c r="L461" s="83"/>
    </row>
    <row r="462" spans="2:21" ht="21" x14ac:dyDescent="0.3">
      <c r="B462" s="46" t="s">
        <v>40</v>
      </c>
      <c r="C462" s="47" t="s">
        <v>250</v>
      </c>
      <c r="D462" s="47">
        <v>130</v>
      </c>
      <c r="E462" s="47"/>
      <c r="F462" s="47" t="s">
        <v>252</v>
      </c>
      <c r="G462" s="137">
        <v>17</v>
      </c>
      <c r="H462" s="28" t="s">
        <v>14</v>
      </c>
      <c r="I462" s="58">
        <v>300000</v>
      </c>
      <c r="J462" s="68" t="s">
        <v>189</v>
      </c>
      <c r="K462" s="82"/>
      <c r="L462" s="83"/>
    </row>
    <row r="463" spans="2:21" s="24" customFormat="1" ht="21" x14ac:dyDescent="0.3">
      <c r="B463" s="46" t="s">
        <v>40</v>
      </c>
      <c r="C463" s="47" t="s">
        <v>250</v>
      </c>
      <c r="D463" s="47">
        <v>140</v>
      </c>
      <c r="E463" s="47"/>
      <c r="F463" s="47" t="s">
        <v>252</v>
      </c>
      <c r="G463" s="136">
        <v>10</v>
      </c>
      <c r="H463" s="28" t="s">
        <v>14</v>
      </c>
      <c r="I463" s="89">
        <v>300000</v>
      </c>
      <c r="J463" s="68" t="s">
        <v>189</v>
      </c>
      <c r="K463" s="82"/>
      <c r="L463" s="83"/>
      <c r="M463" s="27"/>
      <c r="N463" s="27"/>
      <c r="O463" s="27"/>
      <c r="P463" s="27"/>
      <c r="Q463" s="27"/>
      <c r="R463" s="27"/>
      <c r="S463" s="27"/>
      <c r="T463" s="27"/>
      <c r="U463" s="27"/>
    </row>
    <row r="464" spans="2:21" ht="21" x14ac:dyDescent="0.3">
      <c r="B464" s="33" t="s">
        <v>40</v>
      </c>
      <c r="C464" s="38" t="s">
        <v>250</v>
      </c>
      <c r="D464" s="38">
        <v>150</v>
      </c>
      <c r="E464" s="38"/>
      <c r="F464" s="38" t="s">
        <v>259</v>
      </c>
      <c r="G464" s="135">
        <v>0.745</v>
      </c>
      <c r="H464" s="28" t="s">
        <v>14</v>
      </c>
      <c r="I464" s="41">
        <v>300000</v>
      </c>
      <c r="J464" s="35" t="s">
        <v>15</v>
      </c>
      <c r="K464" s="69"/>
      <c r="L464" s="83"/>
    </row>
    <row r="465" spans="2:14" ht="21" x14ac:dyDescent="0.3">
      <c r="B465" s="46" t="s">
        <v>40</v>
      </c>
      <c r="C465" s="47" t="s">
        <v>250</v>
      </c>
      <c r="D465" s="47">
        <v>160</v>
      </c>
      <c r="E465" s="47"/>
      <c r="F465" s="127"/>
      <c r="G465" s="138">
        <v>2</v>
      </c>
      <c r="H465" s="128"/>
      <c r="I465" s="133"/>
      <c r="J465" s="68" t="s">
        <v>189</v>
      </c>
      <c r="K465" s="69"/>
      <c r="L465" s="91"/>
    </row>
    <row r="466" spans="2:14" ht="21" x14ac:dyDescent="0.3">
      <c r="B466" s="46" t="s">
        <v>40</v>
      </c>
      <c r="C466" s="47" t="s">
        <v>250</v>
      </c>
      <c r="D466" s="47">
        <v>170</v>
      </c>
      <c r="E466" s="47"/>
      <c r="F466" s="47" t="s">
        <v>252</v>
      </c>
      <c r="G466" s="135">
        <v>10</v>
      </c>
      <c r="H466" s="28" t="s">
        <v>14</v>
      </c>
      <c r="I466" s="89">
        <v>300000</v>
      </c>
      <c r="J466" s="89" t="s">
        <v>189</v>
      </c>
      <c r="K466" s="69"/>
      <c r="L466" s="91"/>
    </row>
    <row r="467" spans="2:14" ht="21" x14ac:dyDescent="0.3">
      <c r="B467" s="33" t="s">
        <v>40</v>
      </c>
      <c r="C467" s="38" t="s">
        <v>250</v>
      </c>
      <c r="D467" s="38">
        <v>190</v>
      </c>
      <c r="E467" s="38"/>
      <c r="F467" s="38" t="s">
        <v>260</v>
      </c>
      <c r="G467" s="135">
        <v>3.5819999999999999</v>
      </c>
      <c r="H467" s="28" t="s">
        <v>14</v>
      </c>
      <c r="I467" s="41">
        <v>280000</v>
      </c>
      <c r="J467" s="35" t="s">
        <v>15</v>
      </c>
      <c r="K467" s="82"/>
      <c r="L467" s="92"/>
    </row>
    <row r="468" spans="2:14" ht="21" x14ac:dyDescent="0.3">
      <c r="B468" s="46" t="s">
        <v>40</v>
      </c>
      <c r="C468" s="47" t="s">
        <v>250</v>
      </c>
      <c r="D468" s="47">
        <v>210</v>
      </c>
      <c r="E468" s="47"/>
      <c r="F468" s="47" t="s">
        <v>252</v>
      </c>
      <c r="G468" s="137">
        <v>7</v>
      </c>
      <c r="H468" s="28" t="s">
        <v>14</v>
      </c>
      <c r="I468" s="89">
        <v>300000</v>
      </c>
      <c r="J468" s="68" t="s">
        <v>189</v>
      </c>
      <c r="K468" s="82"/>
      <c r="L468" s="93"/>
    </row>
    <row r="469" spans="2:14" ht="21" x14ac:dyDescent="0.3">
      <c r="B469" s="46" t="s">
        <v>40</v>
      </c>
      <c r="C469" s="47" t="s">
        <v>250</v>
      </c>
      <c r="D469" s="47">
        <v>210</v>
      </c>
      <c r="E469" s="47"/>
      <c r="F469" s="47" t="s">
        <v>393</v>
      </c>
      <c r="G469" s="137">
        <v>3.08</v>
      </c>
      <c r="H469" s="28" t="s">
        <v>14</v>
      </c>
      <c r="I469" s="89">
        <v>300000</v>
      </c>
      <c r="J469" s="68" t="s">
        <v>257</v>
      </c>
      <c r="K469" s="82"/>
      <c r="L469" s="93"/>
    </row>
    <row r="470" spans="2:14" ht="21" x14ac:dyDescent="0.3">
      <c r="B470" s="46" t="s">
        <v>40</v>
      </c>
      <c r="C470" s="47" t="s">
        <v>250</v>
      </c>
      <c r="D470" s="47">
        <v>210</v>
      </c>
      <c r="E470" s="47"/>
      <c r="F470" s="65" t="s">
        <v>258</v>
      </c>
      <c r="G470" s="137">
        <v>0.16200000000000001</v>
      </c>
      <c r="H470" s="28" t="s">
        <v>14</v>
      </c>
      <c r="I470" s="58">
        <v>300000</v>
      </c>
      <c r="J470" s="68" t="s">
        <v>257</v>
      </c>
      <c r="K470" s="82"/>
      <c r="L470" s="93"/>
    </row>
    <row r="471" spans="2:14" ht="21" x14ac:dyDescent="0.3">
      <c r="B471" s="46" t="s">
        <v>40</v>
      </c>
      <c r="C471" s="47" t="s">
        <v>250</v>
      </c>
      <c r="D471" s="47">
        <v>220</v>
      </c>
      <c r="E471" s="47"/>
      <c r="F471" s="47" t="s">
        <v>252</v>
      </c>
      <c r="G471" s="137">
        <v>10</v>
      </c>
      <c r="H471" s="28" t="s">
        <v>14</v>
      </c>
      <c r="I471" s="89">
        <v>300000</v>
      </c>
      <c r="J471" s="68" t="s">
        <v>189</v>
      </c>
      <c r="K471" s="82"/>
      <c r="L471" s="93"/>
    </row>
    <row r="472" spans="2:14" ht="21" x14ac:dyDescent="0.3">
      <c r="B472" s="46" t="s">
        <v>40</v>
      </c>
      <c r="C472" s="47" t="s">
        <v>250</v>
      </c>
      <c r="D472" s="47">
        <v>220</v>
      </c>
      <c r="E472" s="47">
        <v>2.5099999999999998</v>
      </c>
      <c r="F472" s="65" t="s">
        <v>258</v>
      </c>
      <c r="G472" s="137">
        <v>0.69</v>
      </c>
      <c r="H472" s="28" t="s">
        <v>14</v>
      </c>
      <c r="I472" s="58">
        <v>300000</v>
      </c>
      <c r="J472" s="68" t="s">
        <v>257</v>
      </c>
      <c r="K472" s="82"/>
      <c r="L472" s="93"/>
    </row>
    <row r="473" spans="2:14" ht="21" x14ac:dyDescent="0.3">
      <c r="B473" s="46" t="s">
        <v>40</v>
      </c>
      <c r="C473" s="47" t="s">
        <v>250</v>
      </c>
      <c r="D473" s="47">
        <v>230</v>
      </c>
      <c r="E473" s="47"/>
      <c r="F473" s="47" t="s">
        <v>393</v>
      </c>
      <c r="G473" s="137">
        <v>4.5</v>
      </c>
      <c r="H473" s="28" t="s">
        <v>14</v>
      </c>
      <c r="I473" s="89">
        <v>300000</v>
      </c>
      <c r="J473" s="68" t="s">
        <v>189</v>
      </c>
      <c r="K473" s="82"/>
      <c r="L473" s="93"/>
    </row>
    <row r="474" spans="2:14" ht="21" x14ac:dyDescent="0.3">
      <c r="B474" s="33" t="s">
        <v>40</v>
      </c>
      <c r="C474" s="38" t="s">
        <v>250</v>
      </c>
      <c r="D474" s="38">
        <v>250</v>
      </c>
      <c r="E474" s="38"/>
      <c r="F474" s="38" t="s">
        <v>261</v>
      </c>
      <c r="G474" s="135">
        <v>1.0349999999999999</v>
      </c>
      <c r="H474" s="28" t="s">
        <v>14</v>
      </c>
      <c r="I474" s="41">
        <v>280000</v>
      </c>
      <c r="J474" s="35" t="s">
        <v>15</v>
      </c>
      <c r="K474" s="82"/>
      <c r="L474" s="83"/>
    </row>
    <row r="475" spans="2:14" ht="21" x14ac:dyDescent="0.3">
      <c r="B475" s="33" t="s">
        <v>40</v>
      </c>
      <c r="C475" s="38" t="s">
        <v>250</v>
      </c>
      <c r="D475" s="38">
        <v>300</v>
      </c>
      <c r="E475" s="38"/>
      <c r="F475" s="38" t="s">
        <v>262</v>
      </c>
      <c r="G475" s="135">
        <v>2.7040000000000002</v>
      </c>
      <c r="H475" s="28" t="s">
        <v>14</v>
      </c>
      <c r="I475" s="41">
        <v>280000</v>
      </c>
      <c r="J475" s="35" t="s">
        <v>15</v>
      </c>
      <c r="K475" s="82"/>
      <c r="L475" s="83"/>
      <c r="N475" s="27" t="s">
        <v>92</v>
      </c>
    </row>
    <row r="476" spans="2:14" ht="21" x14ac:dyDescent="0.3">
      <c r="B476" s="33" t="s">
        <v>23</v>
      </c>
      <c r="C476" s="38" t="s">
        <v>250</v>
      </c>
      <c r="D476" s="38" t="s">
        <v>263</v>
      </c>
      <c r="E476" s="38"/>
      <c r="F476" s="38" t="s">
        <v>229</v>
      </c>
      <c r="G476" s="135">
        <v>0.90500000000000003</v>
      </c>
      <c r="H476" s="28" t="s">
        <v>14</v>
      </c>
      <c r="I476" s="41">
        <v>250000</v>
      </c>
      <c r="J476" s="35" t="s">
        <v>15</v>
      </c>
      <c r="K476" s="82"/>
      <c r="L476" s="83"/>
    </row>
    <row r="477" spans="2:14" ht="18.75" x14ac:dyDescent="0.3">
      <c r="B477" s="33" t="s">
        <v>40</v>
      </c>
      <c r="C477" s="38" t="s">
        <v>264</v>
      </c>
      <c r="D477" s="38">
        <v>150</v>
      </c>
      <c r="E477" s="38"/>
      <c r="F477" s="38"/>
      <c r="G477" s="135">
        <v>1.4359999999999999</v>
      </c>
      <c r="H477" s="75" t="s">
        <v>20</v>
      </c>
      <c r="I477" s="41">
        <v>190000</v>
      </c>
      <c r="J477" s="35" t="s">
        <v>15</v>
      </c>
      <c r="K477" s="82"/>
      <c r="L477" s="83"/>
    </row>
    <row r="478" spans="2:14" ht="21" x14ac:dyDescent="0.3">
      <c r="B478" s="126" t="s">
        <v>40</v>
      </c>
      <c r="C478" s="127" t="s">
        <v>265</v>
      </c>
      <c r="D478" s="127">
        <v>30</v>
      </c>
      <c r="E478" s="127"/>
      <c r="F478" s="127"/>
      <c r="G478" s="138">
        <v>3</v>
      </c>
      <c r="H478" s="28" t="s">
        <v>14</v>
      </c>
      <c r="I478" s="133"/>
      <c r="J478" s="130" t="s">
        <v>189</v>
      </c>
      <c r="K478" s="82"/>
      <c r="L478" s="83"/>
    </row>
    <row r="479" spans="2:14" ht="21" x14ac:dyDescent="0.3">
      <c r="B479" s="33" t="s">
        <v>40</v>
      </c>
      <c r="C479" s="38" t="s">
        <v>265</v>
      </c>
      <c r="D479" s="38">
        <v>36</v>
      </c>
      <c r="E479" s="38"/>
      <c r="F479" s="38" t="s">
        <v>266</v>
      </c>
      <c r="G479" s="135">
        <v>1.1839999999999999</v>
      </c>
      <c r="H479" s="28" t="s">
        <v>14</v>
      </c>
      <c r="I479" s="41">
        <v>380000</v>
      </c>
      <c r="J479" s="35" t="s">
        <v>15</v>
      </c>
      <c r="K479" s="82"/>
      <c r="L479" s="83"/>
    </row>
    <row r="480" spans="2:14" ht="21" x14ac:dyDescent="0.3">
      <c r="B480" s="33" t="s">
        <v>40</v>
      </c>
      <c r="C480" s="38" t="s">
        <v>265</v>
      </c>
      <c r="D480" s="38">
        <v>40</v>
      </c>
      <c r="E480" s="38"/>
      <c r="F480" s="38" t="s">
        <v>266</v>
      </c>
      <c r="G480" s="135">
        <v>3.9940000000000002</v>
      </c>
      <c r="H480" s="28" t="s">
        <v>14</v>
      </c>
      <c r="I480" s="41">
        <v>380000</v>
      </c>
      <c r="J480" s="35" t="s">
        <v>15</v>
      </c>
      <c r="K480" s="82"/>
      <c r="L480" s="83"/>
    </row>
    <row r="481" spans="2:68" ht="21" x14ac:dyDescent="0.3">
      <c r="B481" s="33" t="s">
        <v>40</v>
      </c>
      <c r="C481" s="38" t="s">
        <v>265</v>
      </c>
      <c r="D481" s="38">
        <v>50</v>
      </c>
      <c r="E481" s="38"/>
      <c r="F481" s="38" t="s">
        <v>266</v>
      </c>
      <c r="G481" s="135">
        <v>1.7669999999999999</v>
      </c>
      <c r="H481" s="28" t="s">
        <v>14</v>
      </c>
      <c r="I481" s="41">
        <v>380000</v>
      </c>
      <c r="J481" s="35" t="s">
        <v>15</v>
      </c>
      <c r="K481" s="82"/>
      <c r="L481" s="83"/>
    </row>
    <row r="482" spans="2:68" ht="21" x14ac:dyDescent="0.3">
      <c r="B482" s="33" t="s">
        <v>40</v>
      </c>
      <c r="C482" s="38" t="s">
        <v>265</v>
      </c>
      <c r="D482" s="38">
        <v>56</v>
      </c>
      <c r="E482" s="38"/>
      <c r="F482" s="38" t="s">
        <v>266</v>
      </c>
      <c r="G482" s="135">
        <v>0.32300000000000001</v>
      </c>
      <c r="H482" s="28" t="s">
        <v>14</v>
      </c>
      <c r="I482" s="41">
        <v>380000</v>
      </c>
      <c r="J482" s="35" t="s">
        <v>15</v>
      </c>
      <c r="K482" s="82"/>
      <c r="L482" s="83"/>
    </row>
    <row r="483" spans="2:68" ht="21" x14ac:dyDescent="0.3">
      <c r="B483" s="33" t="s">
        <v>40</v>
      </c>
      <c r="C483" s="38" t="s">
        <v>265</v>
      </c>
      <c r="D483" s="38">
        <v>60</v>
      </c>
      <c r="E483" s="38"/>
      <c r="F483" s="38" t="s">
        <v>260</v>
      </c>
      <c r="G483" s="135">
        <v>3.1E-2</v>
      </c>
      <c r="H483" s="28" t="s">
        <v>14</v>
      </c>
      <c r="I483" s="41">
        <v>390000</v>
      </c>
      <c r="J483" s="35" t="s">
        <v>15</v>
      </c>
      <c r="K483" s="82"/>
      <c r="L483" s="83"/>
    </row>
    <row r="484" spans="2:68" ht="21.75" customHeight="1" x14ac:dyDescent="0.3">
      <c r="B484" s="33" t="s">
        <v>40</v>
      </c>
      <c r="C484" s="38" t="s">
        <v>265</v>
      </c>
      <c r="D484" s="38">
        <v>60</v>
      </c>
      <c r="E484" s="38"/>
      <c r="F484" s="38" t="s">
        <v>267</v>
      </c>
      <c r="G484" s="135">
        <v>2.177</v>
      </c>
      <c r="H484" s="28" t="s">
        <v>14</v>
      </c>
      <c r="I484" s="41">
        <v>390000</v>
      </c>
      <c r="J484" s="35" t="s">
        <v>15</v>
      </c>
      <c r="K484" s="82"/>
      <c r="L484" s="83"/>
    </row>
    <row r="485" spans="2:68" ht="21.75" customHeight="1" x14ac:dyDescent="0.3">
      <c r="B485" s="126" t="s">
        <v>40</v>
      </c>
      <c r="C485" s="127" t="s">
        <v>265</v>
      </c>
      <c r="D485" s="127">
        <v>60</v>
      </c>
      <c r="E485" s="127"/>
      <c r="F485" s="127"/>
      <c r="G485" s="138">
        <v>3</v>
      </c>
      <c r="H485" s="28" t="s">
        <v>14</v>
      </c>
      <c r="I485" s="133"/>
      <c r="J485" s="130" t="s">
        <v>189</v>
      </c>
      <c r="K485" s="82"/>
      <c r="L485" s="83"/>
    </row>
    <row r="486" spans="2:68" ht="21.75" customHeight="1" x14ac:dyDescent="0.3">
      <c r="B486" s="126" t="s">
        <v>40</v>
      </c>
      <c r="C486" s="127" t="s">
        <v>265</v>
      </c>
      <c r="D486" s="127">
        <v>70</v>
      </c>
      <c r="E486" s="127"/>
      <c r="F486" s="127"/>
      <c r="G486" s="138">
        <v>3</v>
      </c>
      <c r="H486" s="28" t="s">
        <v>14</v>
      </c>
      <c r="I486" s="133"/>
      <c r="J486" s="130" t="s">
        <v>189</v>
      </c>
      <c r="K486" s="82"/>
      <c r="L486" s="83"/>
    </row>
    <row r="487" spans="2:68" ht="21" x14ac:dyDescent="0.3">
      <c r="B487" s="33" t="s">
        <v>40</v>
      </c>
      <c r="C487" s="38" t="s">
        <v>265</v>
      </c>
      <c r="D487" s="38">
        <v>70</v>
      </c>
      <c r="E487" s="38"/>
      <c r="F487" s="38" t="s">
        <v>267</v>
      </c>
      <c r="G487" s="135">
        <v>1.216</v>
      </c>
      <c r="H487" s="28" t="s">
        <v>14</v>
      </c>
      <c r="I487" s="41">
        <v>390000</v>
      </c>
      <c r="J487" s="35" t="s">
        <v>15</v>
      </c>
      <c r="K487" s="82"/>
      <c r="L487" s="83"/>
    </row>
    <row r="488" spans="2:68" ht="21" x14ac:dyDescent="0.3">
      <c r="B488" s="33" t="s">
        <v>40</v>
      </c>
      <c r="C488" s="38" t="s">
        <v>265</v>
      </c>
      <c r="D488" s="38">
        <v>80</v>
      </c>
      <c r="E488" s="38"/>
      <c r="F488" s="38" t="s">
        <v>267</v>
      </c>
      <c r="G488" s="135">
        <v>1.427</v>
      </c>
      <c r="H488" s="28" t="s">
        <v>14</v>
      </c>
      <c r="I488" s="41">
        <v>390000</v>
      </c>
      <c r="J488" s="35" t="s">
        <v>15</v>
      </c>
      <c r="K488" s="82"/>
      <c r="L488" s="83"/>
    </row>
    <row r="489" spans="2:68" ht="21" x14ac:dyDescent="0.3">
      <c r="B489" s="33" t="s">
        <v>40</v>
      </c>
      <c r="C489" s="38" t="s">
        <v>265</v>
      </c>
      <c r="D489" s="38">
        <v>90</v>
      </c>
      <c r="E489" s="38"/>
      <c r="F489" s="38" t="s">
        <v>266</v>
      </c>
      <c r="G489" s="135">
        <v>1.1419999999999999</v>
      </c>
      <c r="H489" s="28" t="s">
        <v>14</v>
      </c>
      <c r="I489" s="41">
        <v>380000</v>
      </c>
      <c r="J489" s="35" t="s">
        <v>15</v>
      </c>
      <c r="K489" s="82"/>
      <c r="L489" s="83"/>
    </row>
    <row r="490" spans="2:68" ht="21" x14ac:dyDescent="0.3">
      <c r="B490" s="33" t="s">
        <v>40</v>
      </c>
      <c r="C490" s="38" t="s">
        <v>265</v>
      </c>
      <c r="D490" s="38">
        <v>100</v>
      </c>
      <c r="E490" s="38"/>
      <c r="F490" s="38"/>
      <c r="G490" s="135">
        <v>9.1999999999999998E-2</v>
      </c>
      <c r="H490" s="28" t="s">
        <v>14</v>
      </c>
      <c r="I490" s="41">
        <v>340000</v>
      </c>
      <c r="J490" s="35" t="s">
        <v>15</v>
      </c>
      <c r="K490" s="82"/>
      <c r="L490" s="83"/>
    </row>
    <row r="491" spans="2:68" ht="21" x14ac:dyDescent="0.3">
      <c r="B491" s="33" t="s">
        <v>40</v>
      </c>
      <c r="C491" s="38" t="s">
        <v>265</v>
      </c>
      <c r="D491" s="38">
        <v>110</v>
      </c>
      <c r="E491" s="38"/>
      <c r="F491" s="38" t="s">
        <v>266</v>
      </c>
      <c r="G491" s="135">
        <v>1.026</v>
      </c>
      <c r="H491" s="28" t="s">
        <v>14</v>
      </c>
      <c r="I491" s="41">
        <v>340000</v>
      </c>
      <c r="J491" s="35" t="s">
        <v>15</v>
      </c>
      <c r="K491" s="82"/>
      <c r="L491" s="83"/>
    </row>
    <row r="492" spans="2:68" ht="21" x14ac:dyDescent="0.3">
      <c r="B492" s="33" t="s">
        <v>40</v>
      </c>
      <c r="C492" s="38" t="s">
        <v>265</v>
      </c>
      <c r="D492" s="38">
        <v>120</v>
      </c>
      <c r="E492" s="38"/>
      <c r="F492" s="38" t="s">
        <v>268</v>
      </c>
      <c r="G492" s="135">
        <v>9.8000000000000004E-2</v>
      </c>
      <c r="H492" s="28" t="s">
        <v>14</v>
      </c>
      <c r="I492" s="41">
        <v>340000</v>
      </c>
      <c r="J492" s="35" t="s">
        <v>15</v>
      </c>
      <c r="K492" s="82"/>
      <c r="L492" s="83"/>
    </row>
    <row r="493" spans="2:68" ht="21" x14ac:dyDescent="0.3">
      <c r="B493" s="33" t="s">
        <v>40</v>
      </c>
      <c r="C493" s="38" t="s">
        <v>265</v>
      </c>
      <c r="D493" s="38">
        <v>120</v>
      </c>
      <c r="E493" s="38"/>
      <c r="F493" s="38" t="s">
        <v>266</v>
      </c>
      <c r="G493" s="135">
        <v>2.4689999999999999</v>
      </c>
      <c r="H493" s="28" t="s">
        <v>14</v>
      </c>
      <c r="I493" s="41">
        <v>340000</v>
      </c>
      <c r="J493" s="35" t="s">
        <v>15</v>
      </c>
      <c r="K493" s="82"/>
      <c r="L493" s="83"/>
    </row>
    <row r="494" spans="2:68" ht="21" x14ac:dyDescent="0.3">
      <c r="B494" s="33" t="s">
        <v>40</v>
      </c>
      <c r="C494" s="38" t="s">
        <v>265</v>
      </c>
      <c r="D494" s="38">
        <v>125</v>
      </c>
      <c r="E494" s="38"/>
      <c r="F494" s="38" t="s">
        <v>266</v>
      </c>
      <c r="G494" s="135">
        <v>0.45300000000000001</v>
      </c>
      <c r="H494" s="28" t="s">
        <v>14</v>
      </c>
      <c r="I494" s="41">
        <v>340000</v>
      </c>
      <c r="J494" s="88" t="s">
        <v>15</v>
      </c>
      <c r="K494" s="94"/>
      <c r="L494" s="83"/>
    </row>
    <row r="495" spans="2:68" ht="21" x14ac:dyDescent="0.3">
      <c r="B495" s="33" t="s">
        <v>40</v>
      </c>
      <c r="C495" s="38" t="s">
        <v>265</v>
      </c>
      <c r="D495" s="38">
        <v>130</v>
      </c>
      <c r="E495" s="38"/>
      <c r="F495" s="38" t="s">
        <v>266</v>
      </c>
      <c r="G495" s="135">
        <v>0.86399999999999999</v>
      </c>
      <c r="H495" s="28" t="s">
        <v>14</v>
      </c>
      <c r="I495" s="41">
        <v>340000</v>
      </c>
      <c r="J495" s="88" t="s">
        <v>15</v>
      </c>
      <c r="L495" s="83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</row>
    <row r="496" spans="2:68" ht="21" x14ac:dyDescent="0.3">
      <c r="B496" s="33" t="s">
        <v>40</v>
      </c>
      <c r="C496" s="38" t="s">
        <v>265</v>
      </c>
      <c r="D496" s="38">
        <v>130</v>
      </c>
      <c r="E496" s="38"/>
      <c r="F496" s="38" t="s">
        <v>266</v>
      </c>
      <c r="G496" s="135">
        <v>4.8280000000000003</v>
      </c>
      <c r="H496" s="28" t="s">
        <v>14</v>
      </c>
      <c r="I496" s="41">
        <v>340000</v>
      </c>
      <c r="J496" s="88" t="s">
        <v>15</v>
      </c>
      <c r="K496" s="95"/>
      <c r="L496" s="83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</row>
    <row r="497" spans="2:68" ht="21" x14ac:dyDescent="0.3">
      <c r="B497" s="126" t="s">
        <v>40</v>
      </c>
      <c r="C497" s="127" t="s">
        <v>265</v>
      </c>
      <c r="D497" s="127">
        <v>150</v>
      </c>
      <c r="E497" s="127"/>
      <c r="F497" s="127"/>
      <c r="G497" s="138">
        <v>6</v>
      </c>
      <c r="H497" s="28" t="s">
        <v>14</v>
      </c>
      <c r="I497" s="133"/>
      <c r="J497" s="130" t="s">
        <v>189</v>
      </c>
      <c r="K497" s="95"/>
      <c r="L497" s="83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</row>
    <row r="498" spans="2:68" s="17" customFormat="1" ht="21" x14ac:dyDescent="0.3">
      <c r="B498" s="33" t="s">
        <v>40</v>
      </c>
      <c r="C498" s="38" t="s">
        <v>265</v>
      </c>
      <c r="D498" s="38">
        <v>180</v>
      </c>
      <c r="E498" s="38"/>
      <c r="F498" s="38"/>
      <c r="G498" s="135">
        <v>0.39300000000000002</v>
      </c>
      <c r="H498" s="28" t="s">
        <v>14</v>
      </c>
      <c r="I498" s="41">
        <v>340000</v>
      </c>
      <c r="J498" s="88" t="s">
        <v>15</v>
      </c>
      <c r="K498" s="27"/>
      <c r="L498" s="83"/>
      <c r="M498" s="27"/>
      <c r="N498" s="27"/>
      <c r="O498" s="27"/>
      <c r="P498" s="27"/>
      <c r="Q498" s="27"/>
      <c r="R498" s="27"/>
    </row>
    <row r="499" spans="2:68" s="17" customFormat="1" ht="21" x14ac:dyDescent="0.3">
      <c r="B499" s="33" t="s">
        <v>40</v>
      </c>
      <c r="C499" s="38" t="s">
        <v>265</v>
      </c>
      <c r="D499" s="38">
        <v>200</v>
      </c>
      <c r="E499" s="38"/>
      <c r="F499" s="38" t="s">
        <v>269</v>
      </c>
      <c r="G499" s="135">
        <v>0.60499999999999998</v>
      </c>
      <c r="H499" s="28" t="s">
        <v>14</v>
      </c>
      <c r="I499" s="41">
        <v>340000</v>
      </c>
      <c r="J499" s="88" t="s">
        <v>15</v>
      </c>
      <c r="K499" s="27"/>
      <c r="L499" s="83"/>
      <c r="M499" s="27"/>
      <c r="N499" s="27"/>
      <c r="O499" s="27"/>
      <c r="P499" s="27"/>
      <c r="Q499" s="27"/>
      <c r="R499" s="27"/>
    </row>
    <row r="500" spans="2:68" s="17" customFormat="1" ht="21" x14ac:dyDescent="0.3">
      <c r="B500" s="33" t="s">
        <v>40</v>
      </c>
      <c r="C500" s="38" t="s">
        <v>265</v>
      </c>
      <c r="D500" s="38">
        <v>220</v>
      </c>
      <c r="E500" s="38"/>
      <c r="F500" s="38" t="s">
        <v>269</v>
      </c>
      <c r="G500" s="135">
        <v>1.2529999999999999</v>
      </c>
      <c r="H500" s="28" t="s">
        <v>14</v>
      </c>
      <c r="I500" s="41">
        <v>340000</v>
      </c>
      <c r="J500" s="88" t="s">
        <v>15</v>
      </c>
      <c r="K500" s="27"/>
      <c r="L500" s="83"/>
      <c r="M500" s="27"/>
      <c r="N500" s="27"/>
      <c r="O500" s="27"/>
      <c r="P500" s="27"/>
      <c r="Q500" s="27"/>
      <c r="R500" s="27"/>
    </row>
    <row r="501" spans="2:68" s="17" customFormat="1" ht="21" x14ac:dyDescent="0.3">
      <c r="B501" s="33" t="s">
        <v>40</v>
      </c>
      <c r="C501" s="38" t="s">
        <v>265</v>
      </c>
      <c r="D501" s="38">
        <v>230</v>
      </c>
      <c r="E501" s="38"/>
      <c r="F501" s="38" t="s">
        <v>270</v>
      </c>
      <c r="G501" s="135">
        <v>2.0649999999999999</v>
      </c>
      <c r="H501" s="28" t="s">
        <v>14</v>
      </c>
      <c r="I501" s="41">
        <v>340000</v>
      </c>
      <c r="J501" s="88" t="s">
        <v>15</v>
      </c>
      <c r="K501" s="27"/>
      <c r="L501" s="83"/>
      <c r="M501" s="27"/>
      <c r="N501" s="27"/>
      <c r="O501" s="27"/>
      <c r="P501" s="27"/>
      <c r="Q501" s="27"/>
      <c r="R501" s="27"/>
    </row>
    <row r="502" spans="2:68" s="17" customFormat="1" ht="18.75" x14ac:dyDescent="0.3">
      <c r="B502" s="33" t="s">
        <v>40</v>
      </c>
      <c r="C502" s="38" t="s">
        <v>271</v>
      </c>
      <c r="D502" s="38">
        <v>50</v>
      </c>
      <c r="E502" s="38" t="s">
        <v>272</v>
      </c>
      <c r="F502" s="38" t="s">
        <v>106</v>
      </c>
      <c r="G502" s="135">
        <v>9.5000000000000001E-2</v>
      </c>
      <c r="H502" s="75"/>
      <c r="I502" s="41">
        <v>130000</v>
      </c>
      <c r="J502" s="88" t="s">
        <v>15</v>
      </c>
      <c r="K502" s="27"/>
      <c r="L502" s="83"/>
      <c r="M502" s="27"/>
      <c r="N502" s="27"/>
      <c r="O502" s="27"/>
      <c r="P502" s="27"/>
      <c r="Q502" s="27"/>
      <c r="R502" s="27"/>
    </row>
    <row r="503" spans="2:68" s="17" customFormat="1" ht="18.75" x14ac:dyDescent="0.3">
      <c r="B503" s="33" t="s">
        <v>40</v>
      </c>
      <c r="C503" s="38" t="s">
        <v>271</v>
      </c>
      <c r="D503" s="38">
        <v>55</v>
      </c>
      <c r="E503" s="38" t="s">
        <v>273</v>
      </c>
      <c r="F503" s="38" t="s">
        <v>106</v>
      </c>
      <c r="G503" s="135">
        <v>0.107</v>
      </c>
      <c r="H503" s="75"/>
      <c r="I503" s="41">
        <v>130000</v>
      </c>
      <c r="J503" s="88" t="s">
        <v>15</v>
      </c>
      <c r="K503" s="27"/>
      <c r="L503" s="83"/>
      <c r="M503" s="27"/>
      <c r="N503" s="27"/>
      <c r="O503" s="27"/>
      <c r="P503" s="27"/>
      <c r="Q503" s="27"/>
      <c r="R503" s="27"/>
    </row>
    <row r="504" spans="2:68" s="17" customFormat="1" ht="18.75" x14ac:dyDescent="0.3">
      <c r="B504" s="33" t="s">
        <v>40</v>
      </c>
      <c r="C504" s="38" t="s">
        <v>271</v>
      </c>
      <c r="D504" s="38">
        <v>65</v>
      </c>
      <c r="E504" s="38"/>
      <c r="F504" s="38" t="s">
        <v>106</v>
      </c>
      <c r="G504" s="135">
        <v>8.2000000000000003E-2</v>
      </c>
      <c r="H504" s="75"/>
      <c r="I504" s="41">
        <v>130000</v>
      </c>
      <c r="J504" s="88" t="s">
        <v>15</v>
      </c>
      <c r="K504" s="27"/>
      <c r="L504" s="83"/>
      <c r="M504" s="27"/>
      <c r="N504" s="27"/>
      <c r="O504" s="27"/>
      <c r="P504" s="27"/>
      <c r="Q504" s="27"/>
      <c r="R504" s="27"/>
    </row>
    <row r="505" spans="2:68" s="17" customFormat="1" ht="21" x14ac:dyDescent="0.3">
      <c r="B505" s="33" t="s">
        <v>40</v>
      </c>
      <c r="C505" s="38" t="s">
        <v>274</v>
      </c>
      <c r="D505" s="38">
        <v>23</v>
      </c>
      <c r="E505" s="38"/>
      <c r="F505" s="38" t="s">
        <v>275</v>
      </c>
      <c r="G505" s="135">
        <v>0.27600000000000002</v>
      </c>
      <c r="H505" s="28" t="s">
        <v>14</v>
      </c>
      <c r="I505" s="44">
        <v>5500000</v>
      </c>
      <c r="J505" s="88" t="s">
        <v>15</v>
      </c>
      <c r="K505" s="96"/>
      <c r="L505" s="37"/>
    </row>
    <row r="506" spans="2:68" s="17" customFormat="1" ht="21" x14ac:dyDescent="0.3">
      <c r="B506" s="33" t="s">
        <v>40</v>
      </c>
      <c r="C506" s="38" t="s">
        <v>274</v>
      </c>
      <c r="D506" s="38">
        <v>26</v>
      </c>
      <c r="E506" s="38"/>
      <c r="F506" s="38" t="s">
        <v>275</v>
      </c>
      <c r="G506" s="135">
        <v>0.28399999999999997</v>
      </c>
      <c r="H506" s="28" t="s">
        <v>14</v>
      </c>
      <c r="I506" s="44">
        <v>5500000</v>
      </c>
      <c r="J506" s="88" t="s">
        <v>15</v>
      </c>
      <c r="L506" s="37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AZ506" s="18"/>
      <c r="BA506" s="18"/>
      <c r="BB506" s="18"/>
      <c r="BC506" s="18"/>
      <c r="BD506" s="18"/>
      <c r="BE506" s="18"/>
      <c r="BF506" s="18"/>
      <c r="BG506" s="18"/>
      <c r="BH506" s="18"/>
      <c r="BI506" s="18"/>
      <c r="BJ506" s="18"/>
      <c r="BK506" s="18"/>
      <c r="BL506" s="18"/>
      <c r="BM506" s="18"/>
      <c r="BN506" s="18"/>
      <c r="BO506" s="18"/>
      <c r="BP506" s="18"/>
    </row>
    <row r="507" spans="2:68" s="17" customFormat="1" ht="21" x14ac:dyDescent="0.3">
      <c r="B507" s="33" t="s">
        <v>40</v>
      </c>
      <c r="C507" s="38" t="s">
        <v>274</v>
      </c>
      <c r="D507" s="38">
        <v>100</v>
      </c>
      <c r="E507" s="38"/>
      <c r="F507" s="38" t="s">
        <v>276</v>
      </c>
      <c r="G507" s="135">
        <v>8.4000000000000005E-2</v>
      </c>
      <c r="H507" s="28" t="s">
        <v>14</v>
      </c>
      <c r="I507" s="44">
        <v>5500000</v>
      </c>
      <c r="J507" s="35" t="s">
        <v>15</v>
      </c>
      <c r="L507" s="3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27"/>
      <c r="AU507" s="27"/>
      <c r="AV507" s="27"/>
      <c r="AW507" s="27"/>
      <c r="AX507" s="27"/>
      <c r="AY507" s="27"/>
      <c r="AZ507" s="27"/>
      <c r="BA507" s="27"/>
      <c r="BB507" s="27"/>
      <c r="BC507" s="27"/>
      <c r="BD507" s="27"/>
      <c r="BE507" s="27"/>
      <c r="BF507" s="27"/>
      <c r="BG507" s="27"/>
      <c r="BH507" s="27"/>
      <c r="BI507" s="27"/>
      <c r="BJ507" s="27"/>
      <c r="BK507" s="27"/>
      <c r="BL507" s="27"/>
      <c r="BM507" s="27"/>
      <c r="BN507" s="27"/>
      <c r="BO507" s="27"/>
      <c r="BP507" s="27"/>
    </row>
    <row r="508" spans="2:68" s="17" customFormat="1" ht="21" x14ac:dyDescent="0.3">
      <c r="B508" s="33" t="s">
        <v>23</v>
      </c>
      <c r="C508" s="38" t="s">
        <v>274</v>
      </c>
      <c r="D508" s="38" t="s">
        <v>277</v>
      </c>
      <c r="E508" s="38"/>
      <c r="F508" s="38" t="s">
        <v>278</v>
      </c>
      <c r="G508" s="135">
        <v>0.152</v>
      </c>
      <c r="H508" s="28" t="s">
        <v>14</v>
      </c>
      <c r="I508" s="44">
        <v>24000000</v>
      </c>
      <c r="J508" s="35" t="s">
        <v>15</v>
      </c>
      <c r="L508" s="3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27"/>
      <c r="AU508" s="27"/>
      <c r="AV508" s="27"/>
      <c r="AW508" s="27"/>
      <c r="AX508" s="27"/>
      <c r="AY508" s="27"/>
      <c r="AZ508" s="27"/>
      <c r="BA508" s="27"/>
      <c r="BB508" s="27"/>
      <c r="BC508" s="27"/>
      <c r="BD508" s="27"/>
      <c r="BE508" s="27"/>
      <c r="BF508" s="27"/>
      <c r="BG508" s="27"/>
      <c r="BH508" s="27"/>
      <c r="BI508" s="27"/>
      <c r="BJ508" s="27"/>
      <c r="BK508" s="27"/>
      <c r="BL508" s="27"/>
      <c r="BM508" s="27"/>
      <c r="BN508" s="27"/>
      <c r="BO508" s="27"/>
      <c r="BP508" s="27"/>
    </row>
    <row r="509" spans="2:68" s="17" customFormat="1" ht="21" x14ac:dyDescent="0.3">
      <c r="B509" s="33" t="s">
        <v>23</v>
      </c>
      <c r="C509" s="38" t="s">
        <v>274</v>
      </c>
      <c r="D509" s="38" t="s">
        <v>279</v>
      </c>
      <c r="E509" s="38"/>
      <c r="F509" s="38" t="s">
        <v>278</v>
      </c>
      <c r="G509" s="135">
        <v>0.157</v>
      </c>
      <c r="H509" s="28" t="s">
        <v>14</v>
      </c>
      <c r="I509" s="44">
        <v>24000000</v>
      </c>
      <c r="J509" s="35" t="s">
        <v>15</v>
      </c>
      <c r="L509" s="3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27"/>
      <c r="AQ509" s="27"/>
      <c r="AR509" s="27"/>
      <c r="AS509" s="27"/>
      <c r="AT509" s="27"/>
      <c r="AU509" s="27"/>
      <c r="AV509" s="27"/>
      <c r="AW509" s="27"/>
      <c r="AX509" s="27"/>
      <c r="AY509" s="27"/>
      <c r="AZ509" s="27"/>
      <c r="BA509" s="27"/>
      <c r="BB509" s="27"/>
      <c r="BC509" s="27"/>
      <c r="BD509" s="27"/>
      <c r="BE509" s="27"/>
      <c r="BF509" s="27"/>
      <c r="BG509" s="27"/>
      <c r="BH509" s="27"/>
      <c r="BI509" s="27"/>
      <c r="BJ509" s="27"/>
      <c r="BK509" s="27"/>
      <c r="BL509" s="27"/>
      <c r="BM509" s="27"/>
      <c r="BN509" s="27"/>
      <c r="BO509" s="27"/>
      <c r="BP509" s="27"/>
    </row>
    <row r="510" spans="2:68" ht="21" x14ac:dyDescent="0.3">
      <c r="B510" s="33" t="s">
        <v>280</v>
      </c>
      <c r="C510" s="38" t="s">
        <v>71</v>
      </c>
      <c r="D510" s="38">
        <v>2</v>
      </c>
      <c r="E510" s="38" t="s">
        <v>281</v>
      </c>
      <c r="F510" s="38" t="s">
        <v>282</v>
      </c>
      <c r="G510" s="135">
        <v>0.54</v>
      </c>
      <c r="H510" s="28" t="s">
        <v>14</v>
      </c>
      <c r="I510" s="44">
        <v>490000</v>
      </c>
      <c r="J510" s="35" t="s">
        <v>15</v>
      </c>
      <c r="K510" s="17"/>
      <c r="L510" s="17"/>
      <c r="M510" s="17"/>
      <c r="N510" s="17"/>
      <c r="O510" s="17"/>
      <c r="P510" s="17"/>
      <c r="Q510" s="17"/>
      <c r="R510" s="17"/>
    </row>
    <row r="511" spans="2:68" ht="21" x14ac:dyDescent="0.3">
      <c r="B511" s="33" t="s">
        <v>280</v>
      </c>
      <c r="C511" s="38" t="s">
        <v>71</v>
      </c>
      <c r="D511" s="38">
        <v>3</v>
      </c>
      <c r="E511" s="33" t="s">
        <v>283</v>
      </c>
      <c r="F511" s="38" t="s">
        <v>284</v>
      </c>
      <c r="G511" s="135">
        <v>0.28100000000000003</v>
      </c>
      <c r="H511" s="28" t="s">
        <v>14</v>
      </c>
      <c r="I511" s="44">
        <v>490000</v>
      </c>
      <c r="J511" s="35" t="s">
        <v>15</v>
      </c>
      <c r="K511" s="17"/>
      <c r="L511" s="17"/>
      <c r="M511" s="17"/>
      <c r="N511" s="17"/>
      <c r="O511" s="17"/>
      <c r="P511" s="17"/>
      <c r="Q511" s="17"/>
      <c r="R511" s="17"/>
    </row>
    <row r="512" spans="2:68" ht="21" x14ac:dyDescent="0.3">
      <c r="B512" s="33" t="s">
        <v>280</v>
      </c>
      <c r="C512" s="38" t="s">
        <v>71</v>
      </c>
      <c r="D512" s="38">
        <v>3</v>
      </c>
      <c r="E512" s="33" t="s">
        <v>281</v>
      </c>
      <c r="F512" s="38" t="s">
        <v>282</v>
      </c>
      <c r="G512" s="135">
        <v>9.6120000000000001</v>
      </c>
      <c r="H512" s="28" t="s">
        <v>14</v>
      </c>
      <c r="I512" s="44">
        <v>490000</v>
      </c>
      <c r="J512" s="35" t="s">
        <v>15</v>
      </c>
      <c r="K512" s="17"/>
      <c r="L512" s="17"/>
      <c r="M512" s="17"/>
      <c r="N512" s="17"/>
      <c r="O512" s="17"/>
      <c r="P512" s="17"/>
      <c r="Q512" s="17"/>
      <c r="R512" s="17"/>
    </row>
    <row r="513" spans="2:21" ht="21" x14ac:dyDescent="0.3">
      <c r="B513" s="33" t="s">
        <v>280</v>
      </c>
      <c r="C513" s="38" t="s">
        <v>71</v>
      </c>
      <c r="D513" s="38">
        <v>3.5</v>
      </c>
      <c r="E513" s="33" t="s">
        <v>281</v>
      </c>
      <c r="F513" s="38" t="s">
        <v>285</v>
      </c>
      <c r="G513" s="135">
        <v>3.8959999999999999</v>
      </c>
      <c r="H513" s="28" t="s">
        <v>14</v>
      </c>
      <c r="I513" s="44">
        <v>490000</v>
      </c>
      <c r="J513" s="35" t="s">
        <v>15</v>
      </c>
      <c r="K513" s="17"/>
      <c r="L513" s="17"/>
      <c r="M513" s="17"/>
      <c r="N513" s="17"/>
      <c r="O513" s="17"/>
      <c r="P513" s="17"/>
      <c r="Q513" s="17"/>
      <c r="R513" s="17"/>
    </row>
    <row r="514" spans="2:21" ht="21" x14ac:dyDescent="0.3">
      <c r="B514" s="33" t="s">
        <v>280</v>
      </c>
      <c r="C514" s="38" t="s">
        <v>71</v>
      </c>
      <c r="D514" s="38">
        <v>4</v>
      </c>
      <c r="E514" s="33" t="s">
        <v>281</v>
      </c>
      <c r="F514" s="38" t="s">
        <v>286</v>
      </c>
      <c r="G514" s="135">
        <v>20.963000000000001</v>
      </c>
      <c r="H514" s="28" t="s">
        <v>14</v>
      </c>
      <c r="I514" s="44">
        <v>490000</v>
      </c>
      <c r="J514" s="35" t="s">
        <v>15</v>
      </c>
    </row>
    <row r="515" spans="2:21" ht="21" x14ac:dyDescent="0.3">
      <c r="B515" s="33" t="s">
        <v>280</v>
      </c>
      <c r="C515" s="38" t="s">
        <v>71</v>
      </c>
      <c r="D515" s="38">
        <v>4.5</v>
      </c>
      <c r="E515" s="33" t="s">
        <v>287</v>
      </c>
      <c r="F515" s="38" t="s">
        <v>288</v>
      </c>
      <c r="G515" s="135">
        <v>11.497999999999999</v>
      </c>
      <c r="H515" s="28" t="s">
        <v>14</v>
      </c>
      <c r="I515" s="44">
        <v>390000</v>
      </c>
      <c r="J515" s="35" t="s">
        <v>15</v>
      </c>
    </row>
    <row r="516" spans="2:21" ht="21" x14ac:dyDescent="0.3">
      <c r="B516" s="33" t="s">
        <v>280</v>
      </c>
      <c r="C516" s="38" t="s">
        <v>71</v>
      </c>
      <c r="D516" s="38">
        <v>5</v>
      </c>
      <c r="E516" s="33" t="s">
        <v>289</v>
      </c>
      <c r="F516" s="38" t="s">
        <v>290</v>
      </c>
      <c r="G516" s="135">
        <v>8.1</v>
      </c>
      <c r="H516" s="28" t="s">
        <v>14</v>
      </c>
      <c r="I516" s="44">
        <v>490000</v>
      </c>
      <c r="J516" s="33" t="s">
        <v>15</v>
      </c>
      <c r="T516" s="27" t="s">
        <v>92</v>
      </c>
    </row>
    <row r="517" spans="2:21" s="18" customFormat="1" ht="21" x14ac:dyDescent="0.3">
      <c r="B517" s="33" t="s">
        <v>280</v>
      </c>
      <c r="C517" s="38" t="s">
        <v>71</v>
      </c>
      <c r="D517" s="38">
        <v>6</v>
      </c>
      <c r="E517" s="33" t="s">
        <v>289</v>
      </c>
      <c r="F517" s="38" t="s">
        <v>291</v>
      </c>
      <c r="G517" s="135">
        <v>2.637</v>
      </c>
      <c r="H517" s="28" t="s">
        <v>14</v>
      </c>
      <c r="I517" s="44">
        <v>490000</v>
      </c>
      <c r="J517" s="33" t="s">
        <v>15</v>
      </c>
    </row>
    <row r="518" spans="2:21" s="21" customFormat="1" ht="21" x14ac:dyDescent="0.3">
      <c r="B518" s="46" t="s">
        <v>280</v>
      </c>
      <c r="C518" s="47" t="s">
        <v>71</v>
      </c>
      <c r="D518" s="47">
        <v>6</v>
      </c>
      <c r="E518" s="46" t="s">
        <v>289</v>
      </c>
      <c r="F518" s="47" t="s">
        <v>292</v>
      </c>
      <c r="G518" s="136">
        <v>7.75</v>
      </c>
      <c r="H518" s="28" t="s">
        <v>14</v>
      </c>
      <c r="I518" s="50">
        <v>490000</v>
      </c>
      <c r="J518" s="46" t="s">
        <v>15</v>
      </c>
      <c r="K518" s="17"/>
      <c r="L518" s="18"/>
      <c r="M518" s="18"/>
      <c r="N518" s="18"/>
      <c r="O518" s="18"/>
      <c r="P518" s="18"/>
      <c r="Q518" s="18"/>
      <c r="R518" s="18"/>
      <c r="S518" s="18"/>
      <c r="T518" s="18"/>
      <c r="U518" s="18"/>
    </row>
    <row r="519" spans="2:21" ht="21" x14ac:dyDescent="0.3">
      <c r="B519" s="33" t="s">
        <v>280</v>
      </c>
      <c r="C519" s="38" t="s">
        <v>71</v>
      </c>
      <c r="D519" s="38">
        <v>8</v>
      </c>
      <c r="E519" s="33" t="s">
        <v>289</v>
      </c>
      <c r="F519" s="38" t="s">
        <v>292</v>
      </c>
      <c r="G519" s="135">
        <v>9.984</v>
      </c>
      <c r="H519" s="28" t="s">
        <v>14</v>
      </c>
      <c r="I519" s="44">
        <v>490000</v>
      </c>
      <c r="J519" s="33" t="s">
        <v>15</v>
      </c>
    </row>
    <row r="520" spans="2:21" ht="21" x14ac:dyDescent="0.3">
      <c r="B520" s="33" t="s">
        <v>280</v>
      </c>
      <c r="C520" s="38" t="s">
        <v>71</v>
      </c>
      <c r="D520" s="38">
        <v>10</v>
      </c>
      <c r="E520" s="33" t="s">
        <v>293</v>
      </c>
      <c r="F520" s="38" t="s">
        <v>292</v>
      </c>
      <c r="G520" s="135">
        <v>1.732</v>
      </c>
      <c r="H520" s="28" t="s">
        <v>14</v>
      </c>
      <c r="I520" s="44">
        <v>490000</v>
      </c>
      <c r="J520" s="33" t="s">
        <v>15</v>
      </c>
    </row>
    <row r="521" spans="2:21" ht="21" x14ac:dyDescent="0.3">
      <c r="B521" s="33" t="s">
        <v>280</v>
      </c>
      <c r="C521" s="38" t="s">
        <v>71</v>
      </c>
      <c r="D521" s="38">
        <v>10</v>
      </c>
      <c r="E521" s="33" t="s">
        <v>289</v>
      </c>
      <c r="F521" s="38" t="s">
        <v>292</v>
      </c>
      <c r="G521" s="135">
        <v>2.8109999999999999</v>
      </c>
      <c r="H521" s="28" t="s">
        <v>14</v>
      </c>
      <c r="I521" s="44">
        <v>490000</v>
      </c>
      <c r="J521" s="33" t="s">
        <v>15</v>
      </c>
    </row>
    <row r="522" spans="2:21" s="25" customFormat="1" ht="21" x14ac:dyDescent="0.3">
      <c r="B522" s="64" t="s">
        <v>280</v>
      </c>
      <c r="C522" s="65" t="s">
        <v>71</v>
      </c>
      <c r="D522" s="65">
        <v>10</v>
      </c>
      <c r="E522" s="64" t="s">
        <v>289</v>
      </c>
      <c r="F522" s="65" t="s">
        <v>292</v>
      </c>
      <c r="G522" s="137">
        <v>4.2699999999999996</v>
      </c>
      <c r="H522" s="28" t="s">
        <v>14</v>
      </c>
      <c r="I522" s="62">
        <v>490000</v>
      </c>
      <c r="J522" s="46" t="s">
        <v>15</v>
      </c>
      <c r="K522" s="59"/>
      <c r="L522" s="27"/>
      <c r="M522" s="27"/>
      <c r="N522" s="27"/>
      <c r="O522" s="27"/>
      <c r="P522" s="27"/>
      <c r="Q522" s="27"/>
      <c r="R522" s="27"/>
      <c r="S522" s="27"/>
      <c r="T522" s="27"/>
      <c r="U522" s="27"/>
    </row>
    <row r="523" spans="2:21" ht="21" x14ac:dyDescent="0.3">
      <c r="B523" s="33" t="s">
        <v>280</v>
      </c>
      <c r="C523" s="38" t="s">
        <v>71</v>
      </c>
      <c r="D523" s="38">
        <v>12</v>
      </c>
      <c r="E523" s="33" t="s">
        <v>289</v>
      </c>
      <c r="F523" s="38" t="s">
        <v>292</v>
      </c>
      <c r="G523" s="135">
        <v>2.5110000000000001</v>
      </c>
      <c r="H523" s="28" t="s">
        <v>14</v>
      </c>
      <c r="I523" s="44">
        <v>490000</v>
      </c>
      <c r="J523" s="33" t="s">
        <v>15</v>
      </c>
    </row>
    <row r="524" spans="2:21" s="17" customFormat="1" ht="21" x14ac:dyDescent="0.3">
      <c r="B524" s="33" t="s">
        <v>280</v>
      </c>
      <c r="C524" s="38" t="s">
        <v>71</v>
      </c>
      <c r="D524" s="38">
        <v>14</v>
      </c>
      <c r="E524" s="33" t="s">
        <v>289</v>
      </c>
      <c r="F524" s="38" t="s">
        <v>294</v>
      </c>
      <c r="G524" s="135">
        <v>0.58699999999999997</v>
      </c>
      <c r="H524" s="28" t="s">
        <v>14</v>
      </c>
      <c r="I524" s="44">
        <v>490000</v>
      </c>
      <c r="J524" s="33" t="s">
        <v>15</v>
      </c>
    </row>
    <row r="525" spans="2:21" s="17" customFormat="1" ht="21" x14ac:dyDescent="0.3">
      <c r="B525" s="33" t="s">
        <v>280</v>
      </c>
      <c r="C525" s="38" t="s">
        <v>71</v>
      </c>
      <c r="D525" s="38">
        <v>16</v>
      </c>
      <c r="E525" s="33" t="s">
        <v>289</v>
      </c>
      <c r="F525" s="38" t="s">
        <v>294</v>
      </c>
      <c r="G525" s="135">
        <v>3.2210000000000001</v>
      </c>
      <c r="H525" s="28" t="s">
        <v>14</v>
      </c>
      <c r="I525" s="44">
        <v>490000</v>
      </c>
      <c r="J525" s="33" t="s">
        <v>15</v>
      </c>
    </row>
    <row r="526" spans="2:21" s="20" customFormat="1" ht="21" x14ac:dyDescent="0.3">
      <c r="B526" s="64" t="s">
        <v>280</v>
      </c>
      <c r="C526" s="65" t="s">
        <v>71</v>
      </c>
      <c r="D526" s="65">
        <v>20</v>
      </c>
      <c r="E526" s="64" t="s">
        <v>289</v>
      </c>
      <c r="F526" s="65" t="s">
        <v>292</v>
      </c>
      <c r="G526" s="137">
        <v>16.867000000000001</v>
      </c>
      <c r="H526" s="28" t="s">
        <v>14</v>
      </c>
      <c r="I526" s="62">
        <v>590000</v>
      </c>
      <c r="J526" s="64" t="s">
        <v>15</v>
      </c>
      <c r="K526" s="59"/>
      <c r="L526" s="17"/>
      <c r="M526" s="17"/>
      <c r="N526" s="17"/>
      <c r="O526" s="17"/>
      <c r="P526" s="17"/>
      <c r="Q526" s="17"/>
      <c r="R526" s="17"/>
      <c r="S526" s="17"/>
      <c r="T526" s="17"/>
      <c r="U526" s="17"/>
    </row>
    <row r="527" spans="2:21" s="19" customFormat="1" ht="21" x14ac:dyDescent="0.3">
      <c r="B527" s="64" t="s">
        <v>280</v>
      </c>
      <c r="C527" s="65" t="s">
        <v>71</v>
      </c>
      <c r="D527" s="65">
        <v>25</v>
      </c>
      <c r="E527" s="64" t="s">
        <v>295</v>
      </c>
      <c r="F527" s="65" t="s">
        <v>294</v>
      </c>
      <c r="G527" s="137">
        <v>2.2010000000000001</v>
      </c>
      <c r="H527" s="28" t="s">
        <v>14</v>
      </c>
      <c r="I527" s="62">
        <v>590000</v>
      </c>
      <c r="J527" s="64" t="s">
        <v>15</v>
      </c>
      <c r="K527" s="59"/>
      <c r="L527" s="17"/>
      <c r="M527" s="17"/>
      <c r="N527" s="17"/>
      <c r="O527" s="17"/>
      <c r="P527" s="17"/>
      <c r="Q527" s="17"/>
      <c r="R527" s="17"/>
      <c r="S527" s="17"/>
      <c r="T527" s="17"/>
      <c r="U527" s="17"/>
    </row>
    <row r="528" spans="2:21" s="17" customFormat="1" ht="21" x14ac:dyDescent="0.3">
      <c r="B528" s="33" t="s">
        <v>280</v>
      </c>
      <c r="C528" s="38" t="s">
        <v>71</v>
      </c>
      <c r="D528" s="38">
        <v>30</v>
      </c>
      <c r="E528" s="33" t="s">
        <v>296</v>
      </c>
      <c r="F528" s="38" t="s">
        <v>294</v>
      </c>
      <c r="G528" s="135">
        <v>42.558999999999997</v>
      </c>
      <c r="H528" s="28" t="s">
        <v>14</v>
      </c>
      <c r="I528" s="44">
        <v>590000</v>
      </c>
      <c r="J528" s="33" t="s">
        <v>15</v>
      </c>
    </row>
    <row r="529" spans="2:21" s="17" customFormat="1" ht="21" x14ac:dyDescent="0.3">
      <c r="B529" s="33" t="s">
        <v>280</v>
      </c>
      <c r="C529" s="38" t="s">
        <v>71</v>
      </c>
      <c r="D529" s="38">
        <v>40</v>
      </c>
      <c r="E529" s="33" t="s">
        <v>297</v>
      </c>
      <c r="F529" s="38" t="s">
        <v>294</v>
      </c>
      <c r="G529" s="135">
        <v>21.428000000000001</v>
      </c>
      <c r="H529" s="28" t="s">
        <v>14</v>
      </c>
      <c r="I529" s="44">
        <v>590000</v>
      </c>
      <c r="J529" s="33" t="s">
        <v>15</v>
      </c>
    </row>
    <row r="530" spans="2:21" s="26" customFormat="1" ht="21" x14ac:dyDescent="0.3">
      <c r="B530" s="33" t="s">
        <v>280</v>
      </c>
      <c r="C530" s="38" t="s">
        <v>71</v>
      </c>
      <c r="D530" s="38">
        <v>45</v>
      </c>
      <c r="E530" s="33" t="s">
        <v>297</v>
      </c>
      <c r="F530" s="38" t="s">
        <v>294</v>
      </c>
      <c r="G530" s="135">
        <v>3.68</v>
      </c>
      <c r="H530" s="28" t="s">
        <v>14</v>
      </c>
      <c r="I530" s="44">
        <v>630000</v>
      </c>
      <c r="J530" s="33" t="s">
        <v>15</v>
      </c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</row>
    <row r="531" spans="2:21" s="26" customFormat="1" ht="21" x14ac:dyDescent="0.3">
      <c r="B531" s="64" t="s">
        <v>280</v>
      </c>
      <c r="C531" s="65" t="s">
        <v>71</v>
      </c>
      <c r="D531" s="65">
        <v>50</v>
      </c>
      <c r="E531" s="64" t="s">
        <v>298</v>
      </c>
      <c r="F531" s="65" t="s">
        <v>294</v>
      </c>
      <c r="G531" s="137">
        <v>10.68</v>
      </c>
      <c r="H531" s="28" t="s">
        <v>14</v>
      </c>
      <c r="I531" s="62">
        <v>630000</v>
      </c>
      <c r="J531" s="64" t="s">
        <v>15</v>
      </c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</row>
    <row r="532" spans="2:21" s="26" customFormat="1" ht="21" x14ac:dyDescent="0.3">
      <c r="B532" s="33" t="s">
        <v>280</v>
      </c>
      <c r="C532" s="97" t="s">
        <v>71</v>
      </c>
      <c r="D532" s="38">
        <v>55</v>
      </c>
      <c r="E532" s="33" t="s">
        <v>298</v>
      </c>
      <c r="F532" s="38" t="s">
        <v>294</v>
      </c>
      <c r="G532" s="135">
        <v>7.3949999999999996</v>
      </c>
      <c r="H532" s="28" t="s">
        <v>14</v>
      </c>
      <c r="I532" s="44">
        <v>630000</v>
      </c>
      <c r="J532" s="33" t="s">
        <v>15</v>
      </c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</row>
    <row r="533" spans="2:21" s="26" customFormat="1" ht="21" x14ac:dyDescent="0.3">
      <c r="B533" s="33" t="s">
        <v>280</v>
      </c>
      <c r="C533" s="97" t="s">
        <v>71</v>
      </c>
      <c r="D533" s="38">
        <v>75</v>
      </c>
      <c r="E533" s="33" t="s">
        <v>299</v>
      </c>
      <c r="F533" s="38" t="s">
        <v>294</v>
      </c>
      <c r="G533" s="135">
        <v>1.89</v>
      </c>
      <c r="H533" s="28" t="s">
        <v>14</v>
      </c>
      <c r="I533" s="44">
        <v>630000</v>
      </c>
      <c r="J533" s="33" t="s">
        <v>15</v>
      </c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</row>
    <row r="534" spans="2:21" s="26" customFormat="1" ht="21" x14ac:dyDescent="0.3">
      <c r="B534" s="33" t="s">
        <v>280</v>
      </c>
      <c r="C534" s="97" t="s">
        <v>71</v>
      </c>
      <c r="D534" s="38">
        <v>80</v>
      </c>
      <c r="E534" s="33" t="s">
        <v>300</v>
      </c>
      <c r="F534" s="38" t="s">
        <v>294</v>
      </c>
      <c r="G534" s="135">
        <v>1.28</v>
      </c>
      <c r="H534" s="28" t="s">
        <v>14</v>
      </c>
      <c r="I534" s="44">
        <v>630000</v>
      </c>
      <c r="J534" s="33" t="s">
        <v>15</v>
      </c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</row>
    <row r="535" spans="2:21" s="26" customFormat="1" ht="21" x14ac:dyDescent="0.3">
      <c r="B535" s="64" t="s">
        <v>280</v>
      </c>
      <c r="C535" s="98" t="s">
        <v>301</v>
      </c>
      <c r="D535" s="65">
        <v>2</v>
      </c>
      <c r="E535" s="64" t="s">
        <v>281</v>
      </c>
      <c r="F535" s="65" t="s">
        <v>302</v>
      </c>
      <c r="G535" s="137">
        <v>0.73499999999999999</v>
      </c>
      <c r="H535" s="28" t="s">
        <v>14</v>
      </c>
      <c r="I535" s="62">
        <v>2900000</v>
      </c>
      <c r="J535" s="64" t="s">
        <v>15</v>
      </c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</row>
    <row r="536" spans="2:21" s="17" customFormat="1" ht="21" x14ac:dyDescent="0.3">
      <c r="B536" s="33" t="s">
        <v>280</v>
      </c>
      <c r="C536" s="97" t="s">
        <v>301</v>
      </c>
      <c r="D536" s="38">
        <v>3</v>
      </c>
      <c r="E536" s="33" t="s">
        <v>281</v>
      </c>
      <c r="F536" s="38" t="s">
        <v>302</v>
      </c>
      <c r="G536" s="135">
        <v>0.8</v>
      </c>
      <c r="H536" s="28" t="s">
        <v>14</v>
      </c>
      <c r="I536" s="44">
        <v>2700000</v>
      </c>
      <c r="J536" s="33" t="s">
        <v>15</v>
      </c>
      <c r="K536" s="99"/>
    </row>
    <row r="537" spans="2:21" s="17" customFormat="1" ht="21" x14ac:dyDescent="0.3">
      <c r="B537" s="33" t="s">
        <v>280</v>
      </c>
      <c r="C537" s="97" t="s">
        <v>301</v>
      </c>
      <c r="D537" s="38">
        <v>20</v>
      </c>
      <c r="E537" s="33" t="s">
        <v>303</v>
      </c>
      <c r="F537" s="38" t="s">
        <v>304</v>
      </c>
      <c r="G537" s="135">
        <v>1.8720000000000001</v>
      </c>
      <c r="H537" s="28" t="s">
        <v>14</v>
      </c>
      <c r="I537" s="44">
        <v>1700000</v>
      </c>
      <c r="J537" s="33" t="s">
        <v>15</v>
      </c>
    </row>
    <row r="538" spans="2:21" s="17" customFormat="1" ht="21" x14ac:dyDescent="0.3">
      <c r="B538" s="33" t="s">
        <v>280</v>
      </c>
      <c r="C538" s="97" t="s">
        <v>24</v>
      </c>
      <c r="D538" s="38">
        <v>4</v>
      </c>
      <c r="E538" s="33" t="s">
        <v>305</v>
      </c>
      <c r="F538" s="38"/>
      <c r="G538" s="135">
        <v>12.422000000000001</v>
      </c>
      <c r="H538" s="28" t="s">
        <v>14</v>
      </c>
      <c r="I538" s="44">
        <v>1050000</v>
      </c>
      <c r="J538" s="33" t="s">
        <v>15</v>
      </c>
    </row>
    <row r="539" spans="2:21" s="17" customFormat="1" ht="21" x14ac:dyDescent="0.3">
      <c r="B539" s="33" t="s">
        <v>280</v>
      </c>
      <c r="C539" s="97" t="s">
        <v>19</v>
      </c>
      <c r="D539" s="38">
        <v>2</v>
      </c>
      <c r="E539" s="33" t="s">
        <v>281</v>
      </c>
      <c r="F539" s="38" t="s">
        <v>306</v>
      </c>
      <c r="G539" s="135">
        <v>0.755</v>
      </c>
      <c r="H539" s="28" t="s">
        <v>14</v>
      </c>
      <c r="I539" s="44">
        <v>785000</v>
      </c>
      <c r="J539" s="33" t="s">
        <v>15</v>
      </c>
    </row>
    <row r="540" spans="2:21" s="17" customFormat="1" ht="21" x14ac:dyDescent="0.3">
      <c r="B540" s="33" t="s">
        <v>280</v>
      </c>
      <c r="C540" s="97" t="s">
        <v>19</v>
      </c>
      <c r="D540" s="38">
        <v>2</v>
      </c>
      <c r="E540" s="33" t="s">
        <v>307</v>
      </c>
      <c r="F540" s="38" t="s">
        <v>306</v>
      </c>
      <c r="G540" s="135">
        <v>0.26</v>
      </c>
      <c r="H540" s="28" t="s">
        <v>14</v>
      </c>
      <c r="I540" s="44">
        <v>785000</v>
      </c>
      <c r="J540" s="33" t="s">
        <v>15</v>
      </c>
    </row>
    <row r="541" spans="2:21" s="17" customFormat="1" ht="21" x14ac:dyDescent="0.3">
      <c r="B541" s="100" t="s">
        <v>280</v>
      </c>
      <c r="C541" s="101" t="s">
        <v>19</v>
      </c>
      <c r="D541" s="102">
        <v>3</v>
      </c>
      <c r="E541" s="100" t="s">
        <v>281</v>
      </c>
      <c r="F541" s="102" t="s">
        <v>308</v>
      </c>
      <c r="G541" s="137">
        <v>9.4E-2</v>
      </c>
      <c r="H541" s="28" t="s">
        <v>14</v>
      </c>
      <c r="I541" s="89">
        <v>785000</v>
      </c>
      <c r="J541" s="100" t="s">
        <v>15</v>
      </c>
    </row>
    <row r="542" spans="2:21" s="17" customFormat="1" ht="21" x14ac:dyDescent="0.3">
      <c r="B542" s="100" t="s">
        <v>280</v>
      </c>
      <c r="C542" s="101" t="s">
        <v>19</v>
      </c>
      <c r="D542" s="102">
        <v>3</v>
      </c>
      <c r="E542" s="100" t="s">
        <v>281</v>
      </c>
      <c r="F542" s="102" t="s">
        <v>309</v>
      </c>
      <c r="G542" s="137">
        <v>3.8650000000000002</v>
      </c>
      <c r="H542" s="28" t="s">
        <v>14</v>
      </c>
      <c r="I542" s="89">
        <v>785000</v>
      </c>
      <c r="J542" s="100" t="s">
        <v>15</v>
      </c>
    </row>
    <row r="543" spans="2:21" s="17" customFormat="1" ht="21" x14ac:dyDescent="0.3">
      <c r="B543" s="100" t="s">
        <v>280</v>
      </c>
      <c r="C543" s="101" t="s">
        <v>19</v>
      </c>
      <c r="D543" s="102">
        <v>4</v>
      </c>
      <c r="E543" s="100" t="s">
        <v>281</v>
      </c>
      <c r="F543" s="102" t="s">
        <v>309</v>
      </c>
      <c r="G543" s="137">
        <v>7.1189999999999998</v>
      </c>
      <c r="H543" s="28" t="s">
        <v>14</v>
      </c>
      <c r="I543" s="89">
        <v>785000</v>
      </c>
      <c r="J543" s="100" t="s">
        <v>15</v>
      </c>
    </row>
    <row r="544" spans="2:21" s="17" customFormat="1" ht="21" x14ac:dyDescent="0.3">
      <c r="B544" s="100" t="s">
        <v>280</v>
      </c>
      <c r="C544" s="101" t="s">
        <v>19</v>
      </c>
      <c r="D544" s="102">
        <v>4</v>
      </c>
      <c r="E544" s="100" t="s">
        <v>281</v>
      </c>
      <c r="F544" s="102" t="s">
        <v>309</v>
      </c>
      <c r="G544" s="137">
        <v>0.76</v>
      </c>
      <c r="H544" s="28" t="s">
        <v>14</v>
      </c>
      <c r="I544" s="89">
        <v>785000</v>
      </c>
      <c r="J544" s="64" t="s">
        <v>15</v>
      </c>
    </row>
    <row r="545" spans="2:68" s="19" customFormat="1" ht="21" x14ac:dyDescent="0.3">
      <c r="B545" s="64" t="s">
        <v>280</v>
      </c>
      <c r="C545" s="98" t="s">
        <v>19</v>
      </c>
      <c r="D545" s="65">
        <v>5</v>
      </c>
      <c r="E545" s="64" t="s">
        <v>289</v>
      </c>
      <c r="F545" s="65" t="s">
        <v>310</v>
      </c>
      <c r="G545" s="137">
        <v>7.7779999999999996</v>
      </c>
      <c r="H545" s="28" t="s">
        <v>14</v>
      </c>
      <c r="I545" s="89">
        <v>740000</v>
      </c>
      <c r="J545" s="64" t="s">
        <v>15</v>
      </c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</row>
    <row r="546" spans="2:68" s="17" customFormat="1" ht="21" x14ac:dyDescent="0.3">
      <c r="B546" s="100" t="s">
        <v>280</v>
      </c>
      <c r="C546" s="101" t="s">
        <v>19</v>
      </c>
      <c r="D546" s="102">
        <v>6</v>
      </c>
      <c r="E546" s="100" t="s">
        <v>289</v>
      </c>
      <c r="F546" s="102" t="s">
        <v>309</v>
      </c>
      <c r="G546" s="137">
        <v>5.3949999999999996</v>
      </c>
      <c r="H546" s="28" t="s">
        <v>14</v>
      </c>
      <c r="I546" s="89">
        <v>740000</v>
      </c>
      <c r="J546" s="64" t="s">
        <v>15</v>
      </c>
    </row>
    <row r="547" spans="2:68" s="17" customFormat="1" ht="21" x14ac:dyDescent="0.3">
      <c r="B547" s="33" t="s">
        <v>280</v>
      </c>
      <c r="C547" s="97" t="s">
        <v>19</v>
      </c>
      <c r="D547" s="38">
        <v>8</v>
      </c>
      <c r="E547" s="33" t="s">
        <v>289</v>
      </c>
      <c r="F547" s="54" t="s">
        <v>311</v>
      </c>
      <c r="G547" s="135">
        <v>4.9260000000000002</v>
      </c>
      <c r="H547" s="28" t="s">
        <v>14</v>
      </c>
      <c r="I547" s="44">
        <v>740000</v>
      </c>
      <c r="J547" s="33" t="s">
        <v>15</v>
      </c>
      <c r="K547" s="18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  <c r="AK547" s="27"/>
      <c r="AL547" s="27"/>
      <c r="AM547" s="27"/>
      <c r="AN547" s="27"/>
      <c r="AO547" s="27"/>
      <c r="AP547" s="27"/>
      <c r="AQ547" s="27"/>
      <c r="AR547" s="27"/>
      <c r="AS547" s="27"/>
      <c r="AT547" s="27"/>
      <c r="AU547" s="27"/>
      <c r="AV547" s="27"/>
      <c r="AW547" s="27"/>
      <c r="AX547" s="27"/>
      <c r="AY547" s="27"/>
      <c r="AZ547" s="27"/>
      <c r="BA547" s="27"/>
      <c r="BB547" s="27"/>
      <c r="BC547" s="27"/>
      <c r="BD547" s="27"/>
      <c r="BE547" s="27"/>
      <c r="BF547" s="27"/>
      <c r="BG547" s="27"/>
      <c r="BH547" s="27"/>
      <c r="BI547" s="27"/>
      <c r="BJ547" s="27"/>
      <c r="BK547" s="27"/>
      <c r="BL547" s="27"/>
      <c r="BM547" s="27"/>
      <c r="BN547" s="27"/>
      <c r="BO547" s="27"/>
      <c r="BP547" s="27"/>
    </row>
    <row r="548" spans="2:68" s="17" customFormat="1" ht="21" x14ac:dyDescent="0.3">
      <c r="B548" s="100" t="s">
        <v>280</v>
      </c>
      <c r="C548" s="101" t="s">
        <v>19</v>
      </c>
      <c r="D548" s="102">
        <v>10</v>
      </c>
      <c r="E548" s="100" t="s">
        <v>289</v>
      </c>
      <c r="F548" s="102" t="s">
        <v>309</v>
      </c>
      <c r="G548" s="137">
        <v>7.88</v>
      </c>
      <c r="H548" s="28" t="s">
        <v>14</v>
      </c>
      <c r="I548" s="89">
        <v>740000</v>
      </c>
      <c r="J548" s="64" t="s">
        <v>15</v>
      </c>
    </row>
    <row r="549" spans="2:68" ht="21" x14ac:dyDescent="0.3">
      <c r="B549" s="33" t="s">
        <v>280</v>
      </c>
      <c r="C549" s="97" t="s">
        <v>19</v>
      </c>
      <c r="D549" s="38">
        <v>12</v>
      </c>
      <c r="E549" s="33" t="s">
        <v>289</v>
      </c>
      <c r="F549" s="54" t="s">
        <v>311</v>
      </c>
      <c r="G549" s="135">
        <v>2.351</v>
      </c>
      <c r="H549" s="28" t="s">
        <v>14</v>
      </c>
      <c r="I549" s="44">
        <v>740000</v>
      </c>
      <c r="J549" s="33" t="s">
        <v>15</v>
      </c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</row>
    <row r="550" spans="2:68" s="17" customFormat="1" ht="21" x14ac:dyDescent="0.3">
      <c r="B550" s="33" t="s">
        <v>280</v>
      </c>
      <c r="C550" s="97" t="s">
        <v>19</v>
      </c>
      <c r="D550" s="38">
        <v>14</v>
      </c>
      <c r="E550" s="33" t="s">
        <v>289</v>
      </c>
      <c r="F550" s="54" t="s">
        <v>311</v>
      </c>
      <c r="G550" s="135">
        <v>0.82499999999999996</v>
      </c>
      <c r="H550" s="28" t="s">
        <v>14</v>
      </c>
      <c r="I550" s="44">
        <v>740000</v>
      </c>
      <c r="J550" s="33" t="s">
        <v>15</v>
      </c>
      <c r="L550" s="17" t="s">
        <v>92</v>
      </c>
    </row>
    <row r="551" spans="2:68" s="17" customFormat="1" ht="21" x14ac:dyDescent="0.3">
      <c r="B551" s="33" t="s">
        <v>280</v>
      </c>
      <c r="C551" s="97" t="s">
        <v>19</v>
      </c>
      <c r="D551" s="38">
        <v>16</v>
      </c>
      <c r="E551" s="33" t="s">
        <v>289</v>
      </c>
      <c r="F551" s="54" t="s">
        <v>311</v>
      </c>
      <c r="G551" s="135">
        <v>13.638</v>
      </c>
      <c r="H551" s="28" t="s">
        <v>14</v>
      </c>
      <c r="I551" s="44">
        <v>740000</v>
      </c>
      <c r="J551" s="33" t="s">
        <v>15</v>
      </c>
    </row>
    <row r="552" spans="2:68" s="17" customFormat="1" ht="21" x14ac:dyDescent="0.3">
      <c r="B552" s="33" t="s">
        <v>280</v>
      </c>
      <c r="C552" s="97" t="s">
        <v>19</v>
      </c>
      <c r="D552" s="38">
        <v>18</v>
      </c>
      <c r="E552" s="33" t="s">
        <v>312</v>
      </c>
      <c r="F552" s="54" t="s">
        <v>311</v>
      </c>
      <c r="G552" s="135">
        <v>1.145</v>
      </c>
      <c r="H552" s="28" t="s">
        <v>14</v>
      </c>
      <c r="I552" s="44">
        <v>740000</v>
      </c>
      <c r="J552" s="33" t="s">
        <v>15</v>
      </c>
    </row>
    <row r="553" spans="2:68" s="17" customFormat="1" ht="21" x14ac:dyDescent="0.3">
      <c r="B553" s="33" t="s">
        <v>280</v>
      </c>
      <c r="C553" s="97" t="s">
        <v>19</v>
      </c>
      <c r="D553" s="38">
        <v>20</v>
      </c>
      <c r="E553" s="33" t="s">
        <v>289</v>
      </c>
      <c r="F553" s="38" t="s">
        <v>313</v>
      </c>
      <c r="G553" s="135">
        <v>5.5579999999999998</v>
      </c>
      <c r="H553" s="28" t="s">
        <v>14</v>
      </c>
      <c r="I553" s="44">
        <v>740000</v>
      </c>
      <c r="J553" s="33" t="s">
        <v>15</v>
      </c>
    </row>
    <row r="554" spans="2:68" s="17" customFormat="1" ht="21" x14ac:dyDescent="0.3">
      <c r="B554" s="33" t="s">
        <v>280</v>
      </c>
      <c r="C554" s="97" t="s">
        <v>19</v>
      </c>
      <c r="D554" s="38">
        <v>25</v>
      </c>
      <c r="E554" s="103" t="s">
        <v>295</v>
      </c>
      <c r="F554" s="54" t="s">
        <v>311</v>
      </c>
      <c r="G554" s="135">
        <v>1.3819999999999999</v>
      </c>
      <c r="H554" s="28" t="s">
        <v>14</v>
      </c>
      <c r="I554" s="44">
        <v>740000</v>
      </c>
      <c r="J554" s="33" t="s">
        <v>15</v>
      </c>
    </row>
    <row r="555" spans="2:68" s="17" customFormat="1" ht="21" x14ac:dyDescent="0.3">
      <c r="B555" s="100" t="s">
        <v>280</v>
      </c>
      <c r="C555" s="101" t="s">
        <v>19</v>
      </c>
      <c r="D555" s="102">
        <v>30</v>
      </c>
      <c r="E555" s="100" t="s">
        <v>289</v>
      </c>
      <c r="F555" s="102" t="s">
        <v>314</v>
      </c>
      <c r="G555" s="137">
        <v>5.09</v>
      </c>
      <c r="H555" s="28" t="s">
        <v>14</v>
      </c>
      <c r="I555" s="89">
        <v>740000</v>
      </c>
      <c r="J555" s="64" t="s">
        <v>15</v>
      </c>
    </row>
    <row r="556" spans="2:68" s="17" customFormat="1" ht="21" x14ac:dyDescent="0.3">
      <c r="B556" s="33" t="s">
        <v>280</v>
      </c>
      <c r="C556" s="97" t="s">
        <v>19</v>
      </c>
      <c r="D556" s="38">
        <v>40</v>
      </c>
      <c r="E556" s="103" t="s">
        <v>315</v>
      </c>
      <c r="F556" s="54" t="s">
        <v>316</v>
      </c>
      <c r="G556" s="135">
        <v>1.4910000000000001</v>
      </c>
      <c r="H556" s="28" t="s">
        <v>14</v>
      </c>
      <c r="I556" s="44">
        <v>740000</v>
      </c>
      <c r="J556" s="33" t="s">
        <v>15</v>
      </c>
    </row>
    <row r="557" spans="2:68" s="17" customFormat="1" ht="21" x14ac:dyDescent="0.3">
      <c r="B557" s="100" t="s">
        <v>280</v>
      </c>
      <c r="C557" s="101" t="s">
        <v>19</v>
      </c>
      <c r="D557" s="102">
        <v>45</v>
      </c>
      <c r="E557" s="100" t="s">
        <v>317</v>
      </c>
      <c r="F557" s="102" t="s">
        <v>314</v>
      </c>
      <c r="G557" s="137">
        <v>1.74</v>
      </c>
      <c r="H557" s="28" t="s">
        <v>14</v>
      </c>
      <c r="I557" s="89">
        <v>740000</v>
      </c>
      <c r="J557" s="64" t="s">
        <v>15</v>
      </c>
    </row>
    <row r="558" spans="2:68" s="17" customFormat="1" ht="21" x14ac:dyDescent="0.3">
      <c r="B558" s="100" t="s">
        <v>280</v>
      </c>
      <c r="C558" s="101" t="s">
        <v>19</v>
      </c>
      <c r="D558" s="102">
        <v>60</v>
      </c>
      <c r="E558" s="100" t="s">
        <v>318</v>
      </c>
      <c r="F558" s="102" t="s">
        <v>314</v>
      </c>
      <c r="G558" s="137">
        <v>1.5509999999999999</v>
      </c>
      <c r="H558" s="28" t="s">
        <v>14</v>
      </c>
      <c r="I558" s="89">
        <v>740000</v>
      </c>
      <c r="J558" s="64" t="s">
        <v>15</v>
      </c>
    </row>
    <row r="559" spans="2:68" s="17" customFormat="1" ht="21" x14ac:dyDescent="0.3">
      <c r="B559" s="64" t="s">
        <v>280</v>
      </c>
      <c r="C559" s="98" t="s">
        <v>319</v>
      </c>
      <c r="D559" s="65">
        <v>0.5</v>
      </c>
      <c r="E559" s="104" t="s">
        <v>281</v>
      </c>
      <c r="F559" s="102" t="s">
        <v>320</v>
      </c>
      <c r="G559" s="137">
        <v>0.29499999999999998</v>
      </c>
      <c r="H559" s="28" t="s">
        <v>14</v>
      </c>
      <c r="I559" s="62">
        <v>980000</v>
      </c>
      <c r="J559" s="64" t="s">
        <v>15</v>
      </c>
    </row>
    <row r="560" spans="2:68" s="17" customFormat="1" ht="21" x14ac:dyDescent="0.3">
      <c r="B560" s="64" t="s">
        <v>280</v>
      </c>
      <c r="C560" s="98" t="s">
        <v>319</v>
      </c>
      <c r="D560" s="65">
        <v>0.8</v>
      </c>
      <c r="E560" s="104" t="s">
        <v>321</v>
      </c>
      <c r="F560" s="102" t="s">
        <v>320</v>
      </c>
      <c r="G560" s="137">
        <v>0.35299999999999998</v>
      </c>
      <c r="H560" s="28" t="s">
        <v>14</v>
      </c>
      <c r="I560" s="62">
        <v>980000</v>
      </c>
      <c r="J560" s="64" t="s">
        <v>15</v>
      </c>
    </row>
    <row r="561" spans="2:13" s="17" customFormat="1" ht="21" x14ac:dyDescent="0.3">
      <c r="B561" s="64" t="s">
        <v>280</v>
      </c>
      <c r="C561" s="98" t="s">
        <v>319</v>
      </c>
      <c r="D561" s="65">
        <v>3</v>
      </c>
      <c r="E561" s="104" t="s">
        <v>281</v>
      </c>
      <c r="F561" s="102" t="s">
        <v>322</v>
      </c>
      <c r="G561" s="137">
        <v>0.20300000000000001</v>
      </c>
      <c r="H561" s="28" t="s">
        <v>14</v>
      </c>
      <c r="I561" s="62">
        <v>800000</v>
      </c>
      <c r="J561" s="64" t="s">
        <v>15</v>
      </c>
    </row>
    <row r="562" spans="2:13" s="17" customFormat="1" ht="21" x14ac:dyDescent="0.3">
      <c r="B562" s="64" t="s">
        <v>280</v>
      </c>
      <c r="C562" s="98" t="s">
        <v>323</v>
      </c>
      <c r="D562" s="65">
        <v>4</v>
      </c>
      <c r="E562" s="104" t="s">
        <v>281</v>
      </c>
      <c r="F562" s="102" t="s">
        <v>324</v>
      </c>
      <c r="G562" s="137">
        <v>0.42</v>
      </c>
      <c r="H562" s="28" t="s">
        <v>14</v>
      </c>
      <c r="I562" s="62">
        <v>400000</v>
      </c>
      <c r="J562" s="64" t="s">
        <v>15</v>
      </c>
    </row>
    <row r="563" spans="2:13" s="17" customFormat="1" ht="21" x14ac:dyDescent="0.3">
      <c r="B563" s="64" t="s">
        <v>280</v>
      </c>
      <c r="C563" s="98" t="s">
        <v>323</v>
      </c>
      <c r="D563" s="65">
        <v>6</v>
      </c>
      <c r="E563" s="104" t="s">
        <v>389</v>
      </c>
      <c r="F563" s="102" t="s">
        <v>324</v>
      </c>
      <c r="G563" s="137">
        <v>0.13200000000000001</v>
      </c>
      <c r="H563" s="28" t="s">
        <v>14</v>
      </c>
      <c r="I563" s="62">
        <v>390000</v>
      </c>
      <c r="J563" s="64" t="s">
        <v>15</v>
      </c>
    </row>
    <row r="564" spans="2:13" s="17" customFormat="1" ht="21" x14ac:dyDescent="0.3">
      <c r="B564" s="64" t="s">
        <v>280</v>
      </c>
      <c r="C564" s="98" t="s">
        <v>323</v>
      </c>
      <c r="D564" s="65">
        <v>8</v>
      </c>
      <c r="E564" s="104" t="s">
        <v>289</v>
      </c>
      <c r="F564" s="102" t="s">
        <v>324</v>
      </c>
      <c r="G564" s="137">
        <v>8.266</v>
      </c>
      <c r="H564" s="28" t="s">
        <v>14</v>
      </c>
      <c r="I564" s="62">
        <v>315000</v>
      </c>
      <c r="J564" s="64" t="s">
        <v>15</v>
      </c>
    </row>
    <row r="565" spans="2:13" s="17" customFormat="1" ht="21" x14ac:dyDescent="0.3">
      <c r="B565" s="33" t="s">
        <v>280</v>
      </c>
      <c r="C565" s="97" t="s">
        <v>27</v>
      </c>
      <c r="D565" s="38">
        <v>8</v>
      </c>
      <c r="E565" s="103" t="s">
        <v>289</v>
      </c>
      <c r="F565" s="54"/>
      <c r="G565" s="135">
        <v>2.82</v>
      </c>
      <c r="H565" s="28" t="s">
        <v>14</v>
      </c>
      <c r="I565" s="44">
        <v>430000</v>
      </c>
      <c r="J565" s="33" t="s">
        <v>15</v>
      </c>
    </row>
    <row r="566" spans="2:13" s="17" customFormat="1" ht="21" x14ac:dyDescent="0.3">
      <c r="B566" s="64" t="s">
        <v>280</v>
      </c>
      <c r="C566" s="98" t="s">
        <v>323</v>
      </c>
      <c r="D566" s="65">
        <v>10</v>
      </c>
      <c r="E566" s="104" t="s">
        <v>289</v>
      </c>
      <c r="F566" s="102" t="s">
        <v>325</v>
      </c>
      <c r="G566" s="137">
        <v>4.2969999999999997</v>
      </c>
      <c r="H566" s="28" t="s">
        <v>14</v>
      </c>
      <c r="I566" s="62">
        <v>360000</v>
      </c>
      <c r="J566" s="64" t="s">
        <v>15</v>
      </c>
    </row>
    <row r="567" spans="2:13" s="17" customFormat="1" ht="21" x14ac:dyDescent="0.3">
      <c r="B567" s="64" t="s">
        <v>280</v>
      </c>
      <c r="C567" s="98" t="s">
        <v>323</v>
      </c>
      <c r="D567" s="65">
        <v>10</v>
      </c>
      <c r="E567" s="104" t="s">
        <v>281</v>
      </c>
      <c r="F567" s="102" t="s">
        <v>325</v>
      </c>
      <c r="G567" s="137">
        <v>0.311</v>
      </c>
      <c r="H567" s="28" t="s">
        <v>14</v>
      </c>
      <c r="I567" s="62">
        <v>450000</v>
      </c>
      <c r="J567" s="64" t="s">
        <v>15</v>
      </c>
    </row>
    <row r="568" spans="2:13" s="17" customFormat="1" ht="21" x14ac:dyDescent="0.3">
      <c r="B568" s="64" t="s">
        <v>280</v>
      </c>
      <c r="C568" s="98" t="s">
        <v>323</v>
      </c>
      <c r="D568" s="65">
        <v>10</v>
      </c>
      <c r="E568" s="104" t="s">
        <v>289</v>
      </c>
      <c r="F568" s="102" t="s">
        <v>325</v>
      </c>
      <c r="G568" s="137">
        <v>2.1800000000000002</v>
      </c>
      <c r="H568" s="28" t="s">
        <v>14</v>
      </c>
      <c r="I568" s="62">
        <v>450000</v>
      </c>
      <c r="J568" s="64" t="s">
        <v>15</v>
      </c>
    </row>
    <row r="569" spans="2:13" s="17" customFormat="1" ht="21" x14ac:dyDescent="0.3">
      <c r="B569" s="33" t="s">
        <v>280</v>
      </c>
      <c r="C569" s="97" t="s">
        <v>27</v>
      </c>
      <c r="D569" s="38">
        <v>12</v>
      </c>
      <c r="E569" s="103" t="s">
        <v>289</v>
      </c>
      <c r="F569" s="54"/>
      <c r="G569" s="135">
        <v>1.696</v>
      </c>
      <c r="H569" s="28" t="s">
        <v>14</v>
      </c>
      <c r="I569" s="44">
        <v>430000</v>
      </c>
      <c r="J569" s="33" t="s">
        <v>15</v>
      </c>
      <c r="M569" s="17" t="s">
        <v>92</v>
      </c>
    </row>
    <row r="570" spans="2:13" s="17" customFormat="1" ht="21" x14ac:dyDescent="0.3">
      <c r="B570" s="64" t="s">
        <v>280</v>
      </c>
      <c r="C570" s="98" t="s">
        <v>323</v>
      </c>
      <c r="D570" s="65">
        <v>16</v>
      </c>
      <c r="E570" s="104" t="s">
        <v>326</v>
      </c>
      <c r="F570" s="102" t="s">
        <v>327</v>
      </c>
      <c r="G570" s="137">
        <v>0.58199999999999996</v>
      </c>
      <c r="H570" s="28" t="s">
        <v>14</v>
      </c>
      <c r="I570" s="62">
        <v>390000</v>
      </c>
      <c r="J570" s="64" t="s">
        <v>15</v>
      </c>
    </row>
    <row r="571" spans="2:13" s="17" customFormat="1" ht="21" x14ac:dyDescent="0.3">
      <c r="B571" s="33" t="s">
        <v>280</v>
      </c>
      <c r="C571" s="97" t="s">
        <v>328</v>
      </c>
      <c r="D571" s="38">
        <v>8</v>
      </c>
      <c r="E571" s="103" t="s">
        <v>289</v>
      </c>
      <c r="F571" s="54" t="s">
        <v>329</v>
      </c>
      <c r="G571" s="135">
        <v>2.2000000000000002</v>
      </c>
      <c r="H571" s="28" t="s">
        <v>14</v>
      </c>
      <c r="I571" s="44">
        <v>280000</v>
      </c>
      <c r="J571" s="33" t="s">
        <v>15</v>
      </c>
    </row>
    <row r="572" spans="2:13" s="17" customFormat="1" ht="21" x14ac:dyDescent="0.3">
      <c r="B572" s="33" t="s">
        <v>280</v>
      </c>
      <c r="C572" s="97" t="s">
        <v>328</v>
      </c>
      <c r="D572" s="38">
        <v>12</v>
      </c>
      <c r="E572" s="103" t="s">
        <v>289</v>
      </c>
      <c r="F572" s="54" t="s">
        <v>329</v>
      </c>
      <c r="G572" s="135">
        <v>2.915</v>
      </c>
      <c r="H572" s="28" t="s">
        <v>14</v>
      </c>
      <c r="I572" s="44">
        <v>280000</v>
      </c>
      <c r="J572" s="33" t="s">
        <v>15</v>
      </c>
    </row>
    <row r="573" spans="2:13" s="17" customFormat="1" ht="21" x14ac:dyDescent="0.3">
      <c r="B573" s="33" t="s">
        <v>280</v>
      </c>
      <c r="C573" s="97" t="s">
        <v>328</v>
      </c>
      <c r="D573" s="38">
        <v>16</v>
      </c>
      <c r="E573" s="103" t="s">
        <v>289</v>
      </c>
      <c r="F573" s="54" t="s">
        <v>329</v>
      </c>
      <c r="G573" s="135">
        <v>8.9600000000000009</v>
      </c>
      <c r="H573" s="28" t="s">
        <v>14</v>
      </c>
      <c r="I573" s="44">
        <v>280000</v>
      </c>
      <c r="J573" s="33" t="s">
        <v>15</v>
      </c>
    </row>
    <row r="574" spans="2:13" s="17" customFormat="1" ht="21" x14ac:dyDescent="0.3">
      <c r="B574" s="33" t="s">
        <v>280</v>
      </c>
      <c r="C574" s="97" t="s">
        <v>328</v>
      </c>
      <c r="D574" s="38">
        <v>20</v>
      </c>
      <c r="E574" s="103" t="s">
        <v>289</v>
      </c>
      <c r="F574" s="54" t="s">
        <v>329</v>
      </c>
      <c r="G574" s="135">
        <v>3.5049999999999999</v>
      </c>
      <c r="H574" s="28" t="s">
        <v>14</v>
      </c>
      <c r="I574" s="44">
        <v>280000</v>
      </c>
      <c r="J574" s="33" t="s">
        <v>15</v>
      </c>
    </row>
    <row r="575" spans="2:13" s="17" customFormat="1" ht="21" x14ac:dyDescent="0.3">
      <c r="B575" s="33" t="s">
        <v>280</v>
      </c>
      <c r="C575" s="97" t="s">
        <v>328</v>
      </c>
      <c r="D575" s="38">
        <v>30</v>
      </c>
      <c r="E575" s="103" t="s">
        <v>296</v>
      </c>
      <c r="F575" s="54" t="s">
        <v>329</v>
      </c>
      <c r="G575" s="135">
        <v>1.2589999999999999</v>
      </c>
      <c r="H575" s="28" t="s">
        <v>14</v>
      </c>
      <c r="I575" s="44">
        <v>280000</v>
      </c>
      <c r="J575" s="33" t="s">
        <v>15</v>
      </c>
    </row>
    <row r="576" spans="2:13" s="17" customFormat="1" ht="21" x14ac:dyDescent="0.3">
      <c r="B576" s="33" t="s">
        <v>280</v>
      </c>
      <c r="C576" s="97" t="s">
        <v>328</v>
      </c>
      <c r="D576" s="38">
        <v>36</v>
      </c>
      <c r="E576" s="103"/>
      <c r="F576" s="54" t="s">
        <v>329</v>
      </c>
      <c r="G576" s="135">
        <v>5.0999999999999996</v>
      </c>
      <c r="H576" s="28" t="s">
        <v>14</v>
      </c>
      <c r="I576" s="44">
        <v>280000</v>
      </c>
      <c r="J576" s="33" t="s">
        <v>15</v>
      </c>
    </row>
    <row r="577" spans="2:21" s="17" customFormat="1" ht="21" x14ac:dyDescent="0.3">
      <c r="B577" s="33" t="s">
        <v>280</v>
      </c>
      <c r="C577" s="97" t="s">
        <v>328</v>
      </c>
      <c r="D577" s="38">
        <v>40</v>
      </c>
      <c r="E577" s="103" t="s">
        <v>330</v>
      </c>
      <c r="F577" s="54" t="s">
        <v>331</v>
      </c>
      <c r="G577" s="135">
        <v>3.5430000000000001</v>
      </c>
      <c r="H577" s="28" t="s">
        <v>14</v>
      </c>
      <c r="I577" s="44">
        <v>280000</v>
      </c>
      <c r="J577" s="33" t="s">
        <v>15</v>
      </c>
    </row>
    <row r="578" spans="2:21" s="17" customFormat="1" ht="21" x14ac:dyDescent="0.3">
      <c r="B578" s="33" t="s">
        <v>280</v>
      </c>
      <c r="C578" s="97" t="s">
        <v>328</v>
      </c>
      <c r="D578" s="38">
        <v>50</v>
      </c>
      <c r="E578" s="103" t="s">
        <v>332</v>
      </c>
      <c r="F578" s="54" t="s">
        <v>331</v>
      </c>
      <c r="G578" s="135">
        <v>5.75</v>
      </c>
      <c r="H578" s="28" t="s">
        <v>14</v>
      </c>
      <c r="I578" s="44">
        <v>280000</v>
      </c>
      <c r="J578" s="33" t="s">
        <v>15</v>
      </c>
    </row>
    <row r="579" spans="2:21" s="17" customFormat="1" ht="21" x14ac:dyDescent="0.3">
      <c r="B579" s="64" t="s">
        <v>280</v>
      </c>
      <c r="C579" s="98" t="s">
        <v>124</v>
      </c>
      <c r="D579" s="65">
        <v>0.8</v>
      </c>
      <c r="E579" s="104" t="s">
        <v>333</v>
      </c>
      <c r="F579" s="102" t="s">
        <v>334</v>
      </c>
      <c r="G579" s="137">
        <v>4.8000000000000001E-2</v>
      </c>
      <c r="H579" s="28" t="s">
        <v>14</v>
      </c>
      <c r="I579" s="62">
        <v>360000</v>
      </c>
      <c r="J579" s="64" t="s">
        <v>15</v>
      </c>
      <c r="M579" s="105"/>
    </row>
    <row r="580" spans="2:21" s="17" customFormat="1" ht="21" x14ac:dyDescent="0.3">
      <c r="B580" s="33" t="s">
        <v>280</v>
      </c>
      <c r="C580" s="97" t="s">
        <v>124</v>
      </c>
      <c r="D580" s="38">
        <v>1.5</v>
      </c>
      <c r="E580" s="33" t="s">
        <v>335</v>
      </c>
      <c r="F580" s="38" t="s">
        <v>336</v>
      </c>
      <c r="G580" s="135">
        <v>0.14000000000000001</v>
      </c>
      <c r="H580" s="28" t="s">
        <v>14</v>
      </c>
      <c r="I580" s="44">
        <v>160000</v>
      </c>
      <c r="J580" s="33" t="s">
        <v>15</v>
      </c>
    </row>
    <row r="581" spans="2:21" s="17" customFormat="1" ht="21" x14ac:dyDescent="0.3">
      <c r="B581" s="64" t="s">
        <v>280</v>
      </c>
      <c r="C581" s="98" t="s">
        <v>124</v>
      </c>
      <c r="D581" s="65">
        <v>3</v>
      </c>
      <c r="E581" s="104" t="s">
        <v>337</v>
      </c>
      <c r="F581" s="102" t="s">
        <v>334</v>
      </c>
      <c r="G581" s="137">
        <v>0.41799999999999998</v>
      </c>
      <c r="H581" s="28" t="s">
        <v>14</v>
      </c>
      <c r="I581" s="62">
        <v>360000</v>
      </c>
      <c r="J581" s="64" t="s">
        <v>15</v>
      </c>
    </row>
    <row r="582" spans="2:21" s="17" customFormat="1" ht="21" x14ac:dyDescent="0.3">
      <c r="B582" s="33" t="s">
        <v>280</v>
      </c>
      <c r="C582" s="97" t="s">
        <v>124</v>
      </c>
      <c r="D582" s="38">
        <v>3</v>
      </c>
      <c r="E582" s="33" t="s">
        <v>307</v>
      </c>
      <c r="F582" s="38" t="s">
        <v>336</v>
      </c>
      <c r="G582" s="135">
        <v>4.9000000000000004</v>
      </c>
      <c r="H582" s="28" t="s">
        <v>14</v>
      </c>
      <c r="I582" s="44">
        <v>385000</v>
      </c>
      <c r="J582" s="33" t="s">
        <v>15</v>
      </c>
    </row>
    <row r="583" spans="2:21" s="17" customFormat="1" ht="21" x14ac:dyDescent="0.3">
      <c r="B583" s="64" t="s">
        <v>280</v>
      </c>
      <c r="C583" s="98" t="s">
        <v>124</v>
      </c>
      <c r="D583" s="65">
        <v>4</v>
      </c>
      <c r="E583" s="104" t="s">
        <v>307</v>
      </c>
      <c r="F583" s="102" t="s">
        <v>338</v>
      </c>
      <c r="G583" s="137">
        <v>9.7000000000000003E-2</v>
      </c>
      <c r="H583" s="28" t="s">
        <v>14</v>
      </c>
      <c r="I583" s="62">
        <v>320000</v>
      </c>
      <c r="J583" s="64" t="s">
        <v>15</v>
      </c>
    </row>
    <row r="584" spans="2:21" s="19" customFormat="1" ht="21" x14ac:dyDescent="0.3">
      <c r="B584" s="64" t="s">
        <v>280</v>
      </c>
      <c r="C584" s="98" t="s">
        <v>124</v>
      </c>
      <c r="D584" s="65">
        <v>5</v>
      </c>
      <c r="E584" s="64" t="s">
        <v>289</v>
      </c>
      <c r="F584" s="65" t="s">
        <v>339</v>
      </c>
      <c r="G584" s="137">
        <v>6.306</v>
      </c>
      <c r="H584" s="28" t="s">
        <v>14</v>
      </c>
      <c r="I584" s="62">
        <v>180000</v>
      </c>
      <c r="J584" s="64" t="s">
        <v>15</v>
      </c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</row>
    <row r="585" spans="2:21" s="19" customFormat="1" ht="21" x14ac:dyDescent="0.3">
      <c r="B585" s="64" t="s">
        <v>280</v>
      </c>
      <c r="C585" s="98" t="s">
        <v>124</v>
      </c>
      <c r="D585" s="65">
        <v>5</v>
      </c>
      <c r="E585" s="104" t="s">
        <v>281</v>
      </c>
      <c r="F585" s="102" t="s">
        <v>340</v>
      </c>
      <c r="G585" s="137">
        <v>0.254</v>
      </c>
      <c r="H585" s="28" t="s">
        <v>14</v>
      </c>
      <c r="I585" s="62">
        <v>130000</v>
      </c>
      <c r="J585" s="64" t="s">
        <v>15</v>
      </c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</row>
    <row r="586" spans="2:21" s="17" customFormat="1" ht="21" x14ac:dyDescent="0.3">
      <c r="B586" s="106" t="s">
        <v>280</v>
      </c>
      <c r="C586" s="107" t="s">
        <v>341</v>
      </c>
      <c r="D586" s="86">
        <v>16</v>
      </c>
      <c r="E586" s="106" t="s">
        <v>289</v>
      </c>
      <c r="F586" s="86" t="s">
        <v>342</v>
      </c>
      <c r="G586" s="139">
        <v>1.119</v>
      </c>
      <c r="H586" s="28" t="s">
        <v>14</v>
      </c>
      <c r="I586" s="108">
        <v>1300000</v>
      </c>
      <c r="J586" s="106" t="s">
        <v>15</v>
      </c>
    </row>
    <row r="587" spans="2:21" s="17" customFormat="1" ht="21" x14ac:dyDescent="0.3">
      <c r="B587" s="109" t="s">
        <v>280</v>
      </c>
      <c r="C587" s="110" t="s">
        <v>343</v>
      </c>
      <c r="D587" s="111">
        <v>7</v>
      </c>
      <c r="E587" s="64" t="s">
        <v>289</v>
      </c>
      <c r="F587" s="111" t="s">
        <v>344</v>
      </c>
      <c r="G587" s="140">
        <v>3.39</v>
      </c>
      <c r="H587" s="28" t="s">
        <v>14</v>
      </c>
      <c r="I587" s="112">
        <v>210000</v>
      </c>
      <c r="J587" s="64" t="s">
        <v>15</v>
      </c>
    </row>
    <row r="588" spans="2:21" s="17" customFormat="1" ht="21" x14ac:dyDescent="0.3">
      <c r="B588" s="109" t="s">
        <v>280</v>
      </c>
      <c r="C588" s="110" t="s">
        <v>345</v>
      </c>
      <c r="D588" s="111">
        <v>1.2</v>
      </c>
      <c r="E588" s="109" t="s">
        <v>346</v>
      </c>
      <c r="F588" s="111" t="s">
        <v>347</v>
      </c>
      <c r="G588" s="140">
        <v>0.33600000000000002</v>
      </c>
      <c r="H588" s="28" t="s">
        <v>14</v>
      </c>
      <c r="I588" s="112">
        <v>700000</v>
      </c>
      <c r="J588" s="64" t="s">
        <v>15</v>
      </c>
    </row>
    <row r="589" spans="2:21" s="17" customFormat="1" ht="21" x14ac:dyDescent="0.3">
      <c r="B589" s="109" t="s">
        <v>280</v>
      </c>
      <c r="C589" s="110" t="s">
        <v>345</v>
      </c>
      <c r="D589" s="111">
        <v>2</v>
      </c>
      <c r="E589" s="109" t="s">
        <v>281</v>
      </c>
      <c r="F589" s="111" t="s">
        <v>348</v>
      </c>
      <c r="G589" s="140">
        <v>0.41899999999999998</v>
      </c>
      <c r="H589" s="28" t="s">
        <v>14</v>
      </c>
      <c r="I589" s="112">
        <v>400000</v>
      </c>
      <c r="J589" s="64" t="s">
        <v>15</v>
      </c>
    </row>
    <row r="590" spans="2:21" s="17" customFormat="1" ht="21" x14ac:dyDescent="0.3">
      <c r="B590" s="109" t="s">
        <v>280</v>
      </c>
      <c r="C590" s="110">
        <v>20</v>
      </c>
      <c r="D590" s="111">
        <v>70</v>
      </c>
      <c r="E590" s="109" t="s">
        <v>349</v>
      </c>
      <c r="F590" s="111" t="s">
        <v>350</v>
      </c>
      <c r="G590" s="140">
        <v>0.29899999999999999</v>
      </c>
      <c r="H590" s="28" t="s">
        <v>14</v>
      </c>
      <c r="I590" s="112">
        <v>50000</v>
      </c>
      <c r="J590" s="64" t="s">
        <v>15</v>
      </c>
    </row>
    <row r="591" spans="2:21" s="17" customFormat="1" ht="21" x14ac:dyDescent="0.3">
      <c r="B591" s="109" t="s">
        <v>280</v>
      </c>
      <c r="C591" s="110" t="s">
        <v>351</v>
      </c>
      <c r="D591" s="111">
        <v>8</v>
      </c>
      <c r="E591" s="64" t="s">
        <v>289</v>
      </c>
      <c r="F591" s="111" t="s">
        <v>352</v>
      </c>
      <c r="G591" s="140">
        <v>36</v>
      </c>
      <c r="H591" s="28"/>
      <c r="I591" s="112">
        <v>56000</v>
      </c>
      <c r="J591" s="64" t="s">
        <v>390</v>
      </c>
    </row>
    <row r="592" spans="2:21" s="17" customFormat="1" ht="37.5" x14ac:dyDescent="0.3">
      <c r="B592" s="33" t="s">
        <v>53</v>
      </c>
      <c r="C592" s="113" t="s">
        <v>353</v>
      </c>
      <c r="D592" s="38">
        <v>22</v>
      </c>
      <c r="E592" s="38"/>
      <c r="F592" s="38" t="s">
        <v>354</v>
      </c>
      <c r="G592" s="135">
        <v>0.04</v>
      </c>
      <c r="H592" s="28" t="s">
        <v>14</v>
      </c>
      <c r="I592" s="44">
        <v>1500000</v>
      </c>
      <c r="J592" s="33" t="s">
        <v>15</v>
      </c>
    </row>
    <row r="593" spans="2:68" s="17" customFormat="1" ht="21" x14ac:dyDescent="0.3">
      <c r="B593" s="33" t="s">
        <v>53</v>
      </c>
      <c r="C593" s="113" t="s">
        <v>355</v>
      </c>
      <c r="D593" s="38">
        <v>30</v>
      </c>
      <c r="E593" s="38"/>
      <c r="F593" s="38" t="s">
        <v>356</v>
      </c>
      <c r="G593" s="135">
        <v>0.42499999999999999</v>
      </c>
      <c r="H593" s="28" t="s">
        <v>14</v>
      </c>
      <c r="I593" s="44">
        <v>1200000</v>
      </c>
      <c r="J593" s="33" t="s">
        <v>15</v>
      </c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27"/>
      <c r="AQ593" s="27"/>
      <c r="AR593" s="27"/>
      <c r="AS593" s="27"/>
      <c r="AT593" s="27"/>
      <c r="AU593" s="27"/>
      <c r="AV593" s="27"/>
      <c r="AW593" s="27"/>
      <c r="AX593" s="27"/>
      <c r="AY593" s="27"/>
      <c r="AZ593" s="27"/>
      <c r="BA593" s="27"/>
      <c r="BB593" s="27"/>
      <c r="BC593" s="27"/>
      <c r="BD593" s="27"/>
      <c r="BE593" s="27"/>
      <c r="BF593" s="27"/>
      <c r="BG593" s="27"/>
      <c r="BH593" s="27"/>
      <c r="BI593" s="27"/>
      <c r="BJ593" s="27"/>
      <c r="BK593" s="27"/>
      <c r="BL593" s="27"/>
      <c r="BM593" s="27"/>
      <c r="BN593" s="27"/>
      <c r="BO593" s="27"/>
      <c r="BP593" s="27"/>
    </row>
    <row r="594" spans="2:68" ht="18.75" x14ac:dyDescent="0.3">
      <c r="B594" s="33" t="s">
        <v>53</v>
      </c>
      <c r="C594" s="113" t="s">
        <v>357</v>
      </c>
      <c r="D594" s="38">
        <v>10</v>
      </c>
      <c r="E594" s="38"/>
      <c r="F594" s="38" t="s">
        <v>358</v>
      </c>
      <c r="G594" s="135">
        <v>0.11899999999999999</v>
      </c>
      <c r="H594" s="114"/>
      <c r="I594" s="44">
        <v>1500000</v>
      </c>
      <c r="J594" s="33" t="s">
        <v>15</v>
      </c>
      <c r="K594" s="17"/>
    </row>
    <row r="595" spans="2:68" ht="18.75" x14ac:dyDescent="0.3">
      <c r="B595" s="33" t="s">
        <v>53</v>
      </c>
      <c r="C595" s="97" t="s">
        <v>359</v>
      </c>
      <c r="D595" s="38">
        <v>5</v>
      </c>
      <c r="E595" s="38" t="s">
        <v>360</v>
      </c>
      <c r="F595" s="38" t="s">
        <v>361</v>
      </c>
      <c r="G595" s="135">
        <v>5.3999999999999999E-2</v>
      </c>
      <c r="H595" s="45" t="s">
        <v>20</v>
      </c>
      <c r="I595" s="44">
        <v>250000</v>
      </c>
      <c r="J595" s="33" t="s">
        <v>15</v>
      </c>
    </row>
    <row r="596" spans="2:68" ht="18.75" x14ac:dyDescent="0.3">
      <c r="B596" s="33" t="s">
        <v>53</v>
      </c>
      <c r="C596" s="38" t="s">
        <v>359</v>
      </c>
      <c r="D596" s="38">
        <v>19</v>
      </c>
      <c r="E596" s="38"/>
      <c r="F596" s="38" t="s">
        <v>361</v>
      </c>
      <c r="G596" s="135">
        <v>0.14199999999999999</v>
      </c>
      <c r="H596" s="45" t="s">
        <v>20</v>
      </c>
      <c r="I596" s="44">
        <v>250000</v>
      </c>
      <c r="J596" s="35" t="s">
        <v>15</v>
      </c>
    </row>
    <row r="597" spans="2:68" ht="18.75" x14ac:dyDescent="0.3">
      <c r="B597" s="33" t="s">
        <v>362</v>
      </c>
      <c r="C597" s="97" t="s">
        <v>363</v>
      </c>
      <c r="D597" s="38" t="s">
        <v>364</v>
      </c>
      <c r="E597" s="38"/>
      <c r="F597" s="38"/>
      <c r="G597" s="135">
        <v>80</v>
      </c>
      <c r="H597" s="45"/>
      <c r="I597" s="33" t="s">
        <v>365</v>
      </c>
      <c r="J597" s="33" t="s">
        <v>15</v>
      </c>
    </row>
    <row r="598" spans="2:68" ht="18.75" x14ac:dyDescent="0.3">
      <c r="B598" s="106" t="s">
        <v>366</v>
      </c>
      <c r="C598" s="115" t="s">
        <v>367</v>
      </c>
      <c r="D598" s="115" t="s">
        <v>368</v>
      </c>
      <c r="E598" s="115"/>
      <c r="F598" s="116"/>
      <c r="G598" s="139">
        <v>0.61899999999999999</v>
      </c>
      <c r="H598" s="116"/>
      <c r="I598" s="117">
        <v>150000</v>
      </c>
      <c r="J598" s="118" t="s">
        <v>15</v>
      </c>
    </row>
    <row r="599" spans="2:68" ht="18.75" x14ac:dyDescent="0.3">
      <c r="B599" s="38" t="s">
        <v>40</v>
      </c>
      <c r="C599" s="54" t="s">
        <v>369</v>
      </c>
      <c r="D599" s="54">
        <v>30</v>
      </c>
      <c r="E599" s="54"/>
      <c r="F599" s="74"/>
      <c r="G599" s="135">
        <v>1.4E-2</v>
      </c>
      <c r="H599" s="45" t="s">
        <v>370</v>
      </c>
      <c r="I599" s="41">
        <v>50000</v>
      </c>
      <c r="J599" s="33" t="s">
        <v>15</v>
      </c>
    </row>
    <row r="600" spans="2:68" ht="18.75" x14ac:dyDescent="0.3">
      <c r="B600" s="86" t="s">
        <v>31</v>
      </c>
      <c r="C600" s="86" t="s">
        <v>371</v>
      </c>
      <c r="D600" s="86" t="s">
        <v>372</v>
      </c>
      <c r="E600" s="86"/>
      <c r="F600" s="86" t="s">
        <v>373</v>
      </c>
      <c r="G600" s="139">
        <v>1</v>
      </c>
      <c r="I600" s="108">
        <v>38000</v>
      </c>
      <c r="J600" s="119" t="s">
        <v>15</v>
      </c>
    </row>
    <row r="601" spans="2:68" ht="18.75" x14ac:dyDescent="0.3">
      <c r="B601" s="86" t="s">
        <v>40</v>
      </c>
      <c r="C601" s="86" t="s">
        <v>374</v>
      </c>
      <c r="D601" s="86">
        <v>40</v>
      </c>
      <c r="E601" s="86"/>
      <c r="F601" s="86" t="s">
        <v>106</v>
      </c>
      <c r="G601" s="139">
        <v>8.4000000000000005E-2</v>
      </c>
      <c r="I601" s="108">
        <v>50000</v>
      </c>
      <c r="J601" s="119" t="s">
        <v>15</v>
      </c>
    </row>
    <row r="602" spans="2:68" ht="18.75" x14ac:dyDescent="0.3">
      <c r="B602" s="86" t="s">
        <v>40</v>
      </c>
      <c r="C602" s="86" t="s">
        <v>375</v>
      </c>
      <c r="D602" s="86">
        <v>56</v>
      </c>
      <c r="E602" s="86"/>
      <c r="F602" s="86" t="s">
        <v>106</v>
      </c>
      <c r="G602" s="139">
        <v>0.27800000000000002</v>
      </c>
      <c r="I602" s="108">
        <v>100000</v>
      </c>
      <c r="J602" s="119" t="s">
        <v>15</v>
      </c>
    </row>
    <row r="603" spans="2:68" ht="21" x14ac:dyDescent="0.3">
      <c r="B603" s="120" t="s">
        <v>40</v>
      </c>
      <c r="C603" s="120">
        <v>45</v>
      </c>
      <c r="D603" s="120">
        <v>20</v>
      </c>
      <c r="E603" s="120"/>
      <c r="F603" s="106"/>
      <c r="G603" s="139">
        <v>4.2999999999999997E-2</v>
      </c>
      <c r="H603" s="28" t="s">
        <v>14</v>
      </c>
      <c r="I603" s="121">
        <v>80000</v>
      </c>
      <c r="J603" s="119" t="s">
        <v>15</v>
      </c>
    </row>
    <row r="604" spans="2:68" ht="18.75" x14ac:dyDescent="0.3">
      <c r="B604" s="86" t="s">
        <v>40</v>
      </c>
      <c r="C604" s="86" t="s">
        <v>376</v>
      </c>
      <c r="D604" s="86">
        <v>60</v>
      </c>
      <c r="E604" s="86"/>
      <c r="F604" s="106"/>
      <c r="G604" s="139">
        <v>5.1999999999999998E-2</v>
      </c>
      <c r="H604" s="122"/>
      <c r="I604" s="121">
        <v>80000</v>
      </c>
      <c r="J604" s="119" t="s">
        <v>15</v>
      </c>
    </row>
    <row r="605" spans="2:68" ht="18.75" x14ac:dyDescent="0.3">
      <c r="B605" s="86" t="s">
        <v>31</v>
      </c>
      <c r="C605" s="86" t="s">
        <v>343</v>
      </c>
      <c r="D605" s="86" t="s">
        <v>377</v>
      </c>
      <c r="E605" s="86"/>
      <c r="F605" s="86" t="s">
        <v>378</v>
      </c>
      <c r="G605" s="139">
        <v>0.3</v>
      </c>
      <c r="H605" s="123"/>
      <c r="I605" s="108">
        <v>80000</v>
      </c>
      <c r="J605" s="119" t="s">
        <v>15</v>
      </c>
    </row>
    <row r="606" spans="2:68" ht="18.75" x14ac:dyDescent="0.3">
      <c r="B606" s="86" t="s">
        <v>366</v>
      </c>
      <c r="C606" s="86">
        <v>20</v>
      </c>
      <c r="D606" s="86" t="s">
        <v>379</v>
      </c>
      <c r="E606" s="86"/>
      <c r="F606" s="106"/>
      <c r="G606" s="139">
        <v>0.47599999999999998</v>
      </c>
      <c r="H606" s="124"/>
      <c r="I606" s="121">
        <v>95000</v>
      </c>
      <c r="J606" s="119" t="s">
        <v>15</v>
      </c>
    </row>
    <row r="607" spans="2:68" ht="18.75" x14ac:dyDescent="0.3">
      <c r="B607" s="86" t="s">
        <v>366</v>
      </c>
      <c r="C607" s="115" t="s">
        <v>380</v>
      </c>
      <c r="D607" s="115">
        <v>16</v>
      </c>
      <c r="E607" s="115"/>
      <c r="F607" s="115" t="s">
        <v>381</v>
      </c>
      <c r="G607" s="139">
        <v>1.1100000000000001</v>
      </c>
      <c r="H607" s="115" t="s">
        <v>92</v>
      </c>
      <c r="I607" s="108">
        <v>500000</v>
      </c>
      <c r="J607" s="119" t="s">
        <v>15</v>
      </c>
    </row>
    <row r="608" spans="2:68" x14ac:dyDescent="0.25">
      <c r="I608" s="27" t="s">
        <v>92</v>
      </c>
    </row>
    <row r="611" spans="3:10" x14ac:dyDescent="0.25">
      <c r="F611" s="27" t="s">
        <v>92</v>
      </c>
    </row>
    <row r="612" spans="3:10" x14ac:dyDescent="0.25">
      <c r="F612" s="27" t="s">
        <v>92</v>
      </c>
    </row>
    <row r="613" spans="3:10" ht="15.75" x14ac:dyDescent="0.25">
      <c r="C613" s="125"/>
    </row>
    <row r="614" spans="3:10" x14ac:dyDescent="0.25">
      <c r="F614" s="27" t="s">
        <v>92</v>
      </c>
    </row>
    <row r="615" spans="3:10" x14ac:dyDescent="0.25">
      <c r="F615" s="27" t="s">
        <v>92</v>
      </c>
      <c r="J615" s="27" t="s">
        <v>92</v>
      </c>
    </row>
  </sheetData>
  <autoFilter ref="B3:BP615" xr:uid="{00000000-0009-0000-0000-000000000000}">
    <sortState xmlns:xlrd2="http://schemas.microsoft.com/office/spreadsheetml/2017/richdata2" ref="B3:BP615">
      <sortCondition sortBy="cellColor" ref="C3:C589" dxfId="4"/>
    </sortState>
  </autoFilter>
  <sortState xmlns:xlrd2="http://schemas.microsoft.com/office/spreadsheetml/2017/richdata2" ref="B2:BQ604">
    <sortCondition ref="B8:B592"/>
    <sortCondition ref="C8:C592"/>
    <sortCondition ref="D8:D592"/>
  </sortState>
  <mergeCells count="2">
    <mergeCell ref="A2:J2"/>
    <mergeCell ref="A1:J1"/>
  </mergeCells>
  <pageMargins left="0.15748031496063" right="0.15748031496063" top="0.15748031496063" bottom="0.15748031496063" header="0.31496062992126" footer="0.31496062992126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J936"/>
  <sheetViews>
    <sheetView workbookViewId="0">
      <selection activeCell="E12" sqref="E12"/>
    </sheetView>
  </sheetViews>
  <sheetFormatPr defaultColWidth="9" defaultRowHeight="18.75" x14ac:dyDescent="0.3"/>
  <cols>
    <col min="1" max="1" width="6.85546875" customWidth="1"/>
    <col min="3" max="3" width="28.85546875" style="1" customWidth="1"/>
    <col min="4" max="4" width="15.5703125" customWidth="1"/>
    <col min="5" max="5" width="11.28515625" customWidth="1"/>
    <col min="6" max="6" width="40.5703125" customWidth="1"/>
    <col min="7" max="7" width="15.140625" customWidth="1"/>
    <col min="8" max="8" width="10.5703125" customWidth="1"/>
    <col min="9" max="9" width="20.5703125" customWidth="1"/>
  </cols>
  <sheetData>
    <row r="1" spans="1:10" ht="47.25" customHeight="1" x14ac:dyDescent="0.25">
      <c r="A1" s="146" t="s">
        <v>394</v>
      </c>
      <c r="B1" s="146"/>
      <c r="C1" s="146"/>
      <c r="D1" s="146"/>
      <c r="E1" s="146"/>
      <c r="F1" s="146"/>
      <c r="G1" s="146"/>
      <c r="H1" s="146"/>
      <c r="I1" s="146"/>
      <c r="J1" s="147"/>
    </row>
    <row r="2" spans="1:10" ht="47.25" customHeight="1" x14ac:dyDescent="0.25">
      <c r="A2" s="143" t="s">
        <v>395</v>
      </c>
      <c r="B2" s="143"/>
      <c r="C2" s="143"/>
      <c r="D2" s="143"/>
      <c r="E2" s="143"/>
      <c r="F2" s="143"/>
      <c r="G2" s="143"/>
      <c r="H2" s="143"/>
      <c r="I2" s="143"/>
      <c r="J2" s="144"/>
    </row>
    <row r="3" spans="1:10" s="1" customFormat="1" x14ac:dyDescent="0.3">
      <c r="A3" s="145"/>
      <c r="B3" s="2" t="s">
        <v>382</v>
      </c>
      <c r="C3" s="3" t="s">
        <v>383</v>
      </c>
      <c r="D3" s="4" t="s">
        <v>384</v>
      </c>
      <c r="E3" s="4"/>
      <c r="F3" s="5" t="s">
        <v>4</v>
      </c>
      <c r="G3" s="3" t="s">
        <v>385</v>
      </c>
      <c r="H3" s="3"/>
      <c r="I3" s="3" t="s">
        <v>386</v>
      </c>
    </row>
    <row r="4" spans="1:10" x14ac:dyDescent="0.3">
      <c r="B4" s="6" t="str">
        <f ca="1">IFERROR(__xludf.DUMMYFUNCTION("QUERY(IMPORTRANGE(""1QmUzF3nH-0QNa2ju3a3WJVsfBpC7JfH-qajlxijmSaU"",""Склад!A2:M1300""), ""select Col2, Col3, Col4, Col6, Col9, Col12 where Col9&gt;0.000001"")"),"круг")</f>
        <v>круг</v>
      </c>
      <c r="C4" s="7" t="str">
        <f ca="1">IFERROR(__xludf.DUMMYFUNCTION("""COMPUTED_VALUE"""),"07Х16Н6-Ш ( ЭП288-Ш)")</f>
        <v>07Х16Н6-Ш ( ЭП288-Ш)</v>
      </c>
      <c r="D4" s="8">
        <f ca="1">IFERROR(__xludf.DUMMYFUNCTION("""COMPUTED_VALUE"""),8)</f>
        <v>8</v>
      </c>
      <c r="E4" s="8"/>
      <c r="F4" s="9" t="str">
        <f ca="1">IFERROR(__xludf.DUMMYFUNCTION("""COMPUTED_VALUE"""),"УЗК,  АТП ту 14-1-1660-76, ГОСТ2590  обточ")</f>
        <v>УЗК,  АТП ту 14-1-1660-76, ГОСТ2590  обточ</v>
      </c>
      <c r="G4" s="10">
        <f ca="1">IFERROR(__xludf.DUMMYFUNCTION("""COMPUTED_VALUE"""),0.323999999999999)</f>
        <v>0.32399999999999901</v>
      </c>
      <c r="H4" s="10"/>
      <c r="I4" s="11">
        <f ca="1">IFERROR(__xludf.DUMMYFUNCTION("""COMPUTED_VALUE"""),2100000)</f>
        <v>2100000</v>
      </c>
    </row>
    <row r="5" spans="1:10" x14ac:dyDescent="0.3">
      <c r="B5" s="12" t="str">
        <f ca="1">IFERROR(__xludf.DUMMYFUNCTION("""COMPUTED_VALUE"""),"круг")</f>
        <v>круг</v>
      </c>
      <c r="C5" s="7" t="str">
        <f ca="1">IFERROR(__xludf.DUMMYFUNCTION("""COMPUTED_VALUE"""),"07Х16Н6-Ш ( ЭП288-Ш)")</f>
        <v>07Х16Н6-Ш ( ЭП288-Ш)</v>
      </c>
      <c r="D5" s="13">
        <f ca="1">IFERROR(__xludf.DUMMYFUNCTION("""COMPUTED_VALUE"""),10)</f>
        <v>10</v>
      </c>
      <c r="E5" s="13"/>
      <c r="F5" s="14" t="str">
        <f ca="1">IFERROR(__xludf.DUMMYFUNCTION("""COMPUTED_VALUE"""),"УЗК,  АТП ту 14-1-1660 ")</f>
        <v xml:space="preserve">УЗК,  АТП ту 14-1-1660 </v>
      </c>
      <c r="G5" s="15">
        <f ca="1">IFERROR(__xludf.DUMMYFUNCTION("""COMPUTED_VALUE"""),0.635999999999999)</f>
        <v>0.63599999999999901</v>
      </c>
      <c r="H5" s="15"/>
      <c r="I5" s="16">
        <f ca="1">IFERROR(__xludf.DUMMYFUNCTION("""COMPUTED_VALUE"""),1600000)</f>
        <v>1600000</v>
      </c>
    </row>
    <row r="6" spans="1:10" x14ac:dyDescent="0.3">
      <c r="B6" s="12" t="str">
        <f ca="1">IFERROR(__xludf.DUMMYFUNCTION("""COMPUTED_VALUE"""),"круг")</f>
        <v>круг</v>
      </c>
      <c r="C6" s="7" t="str">
        <f ca="1">IFERROR(__xludf.DUMMYFUNCTION("""COMPUTED_VALUE"""),"07Х16Н6-Ш ( ЭП288-Ш)")</f>
        <v>07Х16Н6-Ш ( ЭП288-Ш)</v>
      </c>
      <c r="D6" s="13">
        <f ca="1">IFERROR(__xludf.DUMMYFUNCTION("""COMPUTED_VALUE"""),12)</f>
        <v>12</v>
      </c>
      <c r="E6" s="13"/>
      <c r="F6" s="14" t="str">
        <f ca="1">IFERROR(__xludf.DUMMYFUNCTION("""COMPUTED_VALUE"""),"УЗК,  АТП ту 14-1-1660 ")</f>
        <v xml:space="preserve">УЗК,  АТП ту 14-1-1660 </v>
      </c>
      <c r="G6" s="15">
        <f ca="1">IFERROR(__xludf.DUMMYFUNCTION("""COMPUTED_VALUE"""),0.688)</f>
        <v>0.68799999999999994</v>
      </c>
      <c r="H6" s="15"/>
      <c r="I6" s="16">
        <f ca="1">IFERROR(__xludf.DUMMYFUNCTION("""COMPUTED_VALUE"""),1600000)</f>
        <v>1600000</v>
      </c>
    </row>
    <row r="7" spans="1:10" x14ac:dyDescent="0.3">
      <c r="B7" s="12" t="str">
        <f ca="1">IFERROR(__xludf.DUMMYFUNCTION("""COMPUTED_VALUE"""),"круг")</f>
        <v>круг</v>
      </c>
      <c r="C7" s="7" t="str">
        <f ca="1">IFERROR(__xludf.DUMMYFUNCTION("""COMPUTED_VALUE"""),"07Х16Н6-Ш ( ЭП288-Ш)")</f>
        <v>07Х16Н6-Ш ( ЭП288-Ш)</v>
      </c>
      <c r="D7" s="13">
        <f ca="1">IFERROR(__xludf.DUMMYFUNCTION("""COMPUTED_VALUE"""),15)</f>
        <v>15</v>
      </c>
      <c r="E7" s="13"/>
      <c r="F7" s="14" t="str">
        <f ca="1">IFERROR(__xludf.DUMMYFUNCTION("""COMPUTED_VALUE"""),"УЗК,  АТП ту 14-1-1660 ")</f>
        <v xml:space="preserve">УЗК,  АТП ту 14-1-1660 </v>
      </c>
      <c r="G7" s="15">
        <f ca="1">IFERROR(__xludf.DUMMYFUNCTION("""COMPUTED_VALUE"""),0.423)</f>
        <v>0.42299999999999999</v>
      </c>
      <c r="H7" s="15"/>
      <c r="I7" s="16">
        <f ca="1">IFERROR(__xludf.DUMMYFUNCTION("""COMPUTED_VALUE"""),1250000)</f>
        <v>1250000</v>
      </c>
    </row>
    <row r="8" spans="1:10" x14ac:dyDescent="0.3">
      <c r="B8" s="12" t="str">
        <f ca="1">IFERROR(__xludf.DUMMYFUNCTION("""COMPUTED_VALUE"""),"круг")</f>
        <v>круг</v>
      </c>
      <c r="C8" s="7" t="str">
        <f ca="1">IFERROR(__xludf.DUMMYFUNCTION("""COMPUTED_VALUE"""),"07Х16Н6-Ш ( ЭП288-Ш)")</f>
        <v>07Х16Н6-Ш ( ЭП288-Ш)</v>
      </c>
      <c r="D8" s="13">
        <f ca="1">IFERROR(__xludf.DUMMYFUNCTION("""COMPUTED_VALUE"""),18)</f>
        <v>18</v>
      </c>
      <c r="E8" s="13"/>
      <c r="F8" s="14" t="str">
        <f ca="1">IFERROR(__xludf.DUMMYFUNCTION("""COMPUTED_VALUE"""),"УЗК,  АТП ту 14-1-1660 ")</f>
        <v xml:space="preserve">УЗК,  АТП ту 14-1-1660 </v>
      </c>
      <c r="G8" s="15">
        <f ca="1">IFERROR(__xludf.DUMMYFUNCTION("""COMPUTED_VALUE"""),0.315999999999999)</f>
        <v>0.315999999999999</v>
      </c>
      <c r="H8" s="15"/>
      <c r="I8" s="16">
        <f ca="1">IFERROR(__xludf.DUMMYFUNCTION("""COMPUTED_VALUE"""),1250000)</f>
        <v>1250000</v>
      </c>
    </row>
    <row r="9" spans="1:10" x14ac:dyDescent="0.3">
      <c r="B9" s="12" t="str">
        <f ca="1">IFERROR(__xludf.DUMMYFUNCTION("""COMPUTED_VALUE"""),"круг")</f>
        <v>круг</v>
      </c>
      <c r="C9" s="7" t="str">
        <f ca="1">IFERROR(__xludf.DUMMYFUNCTION("""COMPUTED_VALUE"""),"07Х16Н6-Ш ( ЭП288-Ш)")</f>
        <v>07Х16Н6-Ш ( ЭП288-Ш)</v>
      </c>
      <c r="D9" s="13">
        <f ca="1">IFERROR(__xludf.DUMMYFUNCTION("""COMPUTED_VALUE"""),18)</f>
        <v>18</v>
      </c>
      <c r="E9" s="13"/>
      <c r="F9" s="14" t="str">
        <f ca="1">IFERROR(__xludf.DUMMYFUNCTION("""COMPUTED_VALUE"""),"УЗК,  АТП ту 14-1-1660 ")</f>
        <v xml:space="preserve">УЗК,  АТП ту 14-1-1660 </v>
      </c>
      <c r="G9" s="15">
        <f ca="1">IFERROR(__xludf.DUMMYFUNCTION("""COMPUTED_VALUE"""),0.64)</f>
        <v>0.64</v>
      </c>
      <c r="H9" s="15"/>
      <c r="I9" s="16">
        <f ca="1">IFERROR(__xludf.DUMMYFUNCTION("""COMPUTED_VALUE"""),1250000)</f>
        <v>1250000</v>
      </c>
    </row>
    <row r="10" spans="1:10" x14ac:dyDescent="0.3">
      <c r="B10" s="12" t="str">
        <f ca="1">IFERROR(__xludf.DUMMYFUNCTION("""COMPUTED_VALUE"""),"круг")</f>
        <v>круг</v>
      </c>
      <c r="C10" s="7" t="str">
        <f ca="1">IFERROR(__xludf.DUMMYFUNCTION("""COMPUTED_VALUE"""),"07Х16Н6-Ш ( ЭП288-Ш)")</f>
        <v>07Х16Н6-Ш ( ЭП288-Ш)</v>
      </c>
      <c r="D10" s="13">
        <f ca="1">IFERROR(__xludf.DUMMYFUNCTION("""COMPUTED_VALUE"""),20)</f>
        <v>20</v>
      </c>
      <c r="E10" s="13"/>
      <c r="F10" s="14" t="str">
        <f ca="1">IFERROR(__xludf.DUMMYFUNCTION("""COMPUTED_VALUE"""),"УЗК,  АТП ту 14-1-1660 ")</f>
        <v xml:space="preserve">УЗК,  АТП ту 14-1-1660 </v>
      </c>
      <c r="G10" s="15">
        <f ca="1">IFERROR(__xludf.DUMMYFUNCTION("""COMPUTED_VALUE"""),0.202999999999999)</f>
        <v>0.20299999999999899</v>
      </c>
      <c r="H10" s="15"/>
      <c r="I10" s="16">
        <f ca="1">IFERROR(__xludf.DUMMYFUNCTION("""COMPUTED_VALUE"""),1250000)</f>
        <v>1250000</v>
      </c>
    </row>
    <row r="11" spans="1:10" x14ac:dyDescent="0.3">
      <c r="B11" s="12" t="str">
        <f ca="1">IFERROR(__xludf.DUMMYFUNCTION("""COMPUTED_VALUE"""),"круг")</f>
        <v>круг</v>
      </c>
      <c r="C11" s="7" t="str">
        <f ca="1">IFERROR(__xludf.DUMMYFUNCTION("""COMPUTED_VALUE"""),"07Х16Н6-Ш ( ЭП288-Ш)")</f>
        <v>07Х16Н6-Ш ( ЭП288-Ш)</v>
      </c>
      <c r="D11" s="13">
        <f ca="1">IFERROR(__xludf.DUMMYFUNCTION("""COMPUTED_VALUE"""),20)</f>
        <v>20</v>
      </c>
      <c r="E11" s="13"/>
      <c r="F11" s="14" t="str">
        <f ca="1">IFERROR(__xludf.DUMMYFUNCTION("""COMPUTED_VALUE"""),"УЗК,  АТП ту 14-1-1660 ")</f>
        <v xml:space="preserve">УЗК,  АТП ту 14-1-1660 </v>
      </c>
      <c r="G11" s="15">
        <f ca="1">IFERROR(__xludf.DUMMYFUNCTION("""COMPUTED_VALUE"""),0.61)</f>
        <v>0.61</v>
      </c>
      <c r="H11" s="15"/>
      <c r="I11" s="16">
        <f ca="1">IFERROR(__xludf.DUMMYFUNCTION("""COMPUTED_VALUE"""),1250000)</f>
        <v>1250000</v>
      </c>
    </row>
    <row r="12" spans="1:10" x14ac:dyDescent="0.3">
      <c r="B12" s="12" t="str">
        <f ca="1">IFERROR(__xludf.DUMMYFUNCTION("""COMPUTED_VALUE"""),"круг")</f>
        <v>круг</v>
      </c>
      <c r="C12" s="7" t="str">
        <f ca="1">IFERROR(__xludf.DUMMYFUNCTION("""COMPUTED_VALUE"""),"07Х16Н6-Ш ( ЭП288-Ш)")</f>
        <v>07Х16Н6-Ш ( ЭП288-Ш)</v>
      </c>
      <c r="D12" s="13">
        <f ca="1">IFERROR(__xludf.DUMMYFUNCTION("""COMPUTED_VALUE"""),22)</f>
        <v>22</v>
      </c>
      <c r="E12" s="13"/>
      <c r="F12" s="14" t="str">
        <f ca="1">IFERROR(__xludf.DUMMYFUNCTION("""COMPUTED_VALUE"""),"УЗК, обточ АТП ту 14-1-1660 2гп")</f>
        <v>УЗК, обточ АТП ту 14-1-1660 2гп</v>
      </c>
      <c r="G12" s="15">
        <f ca="1">IFERROR(__xludf.DUMMYFUNCTION("""COMPUTED_VALUE"""),1)</f>
        <v>1</v>
      </c>
      <c r="H12" s="15"/>
      <c r="I12" s="16">
        <f ca="1">IFERROR(__xludf.DUMMYFUNCTION("""COMPUTED_VALUE"""),1100000)</f>
        <v>1100000</v>
      </c>
    </row>
    <row r="13" spans="1:10" x14ac:dyDescent="0.3">
      <c r="B13" s="12" t="str">
        <f ca="1">IFERROR(__xludf.DUMMYFUNCTION("""COMPUTED_VALUE"""),"круг")</f>
        <v>круг</v>
      </c>
      <c r="C13" s="7" t="str">
        <f ca="1">IFERROR(__xludf.DUMMYFUNCTION("""COMPUTED_VALUE"""),"07Х16Н6-Ш ( ЭП288-Ш)")</f>
        <v>07Х16Н6-Ш ( ЭП288-Ш)</v>
      </c>
      <c r="D13" s="13">
        <f ca="1">IFERROR(__xludf.DUMMYFUNCTION("""COMPUTED_VALUE"""),25)</f>
        <v>25</v>
      </c>
      <c r="E13" s="13"/>
      <c r="F13" s="14" t="str">
        <f ca="1">IFERROR(__xludf.DUMMYFUNCTION("""COMPUTED_VALUE"""),"УЗК, обточ АТП ту 14-1-1660 2гп")</f>
        <v>УЗК, обточ АТП ту 14-1-1660 2гп</v>
      </c>
      <c r="G13" s="15">
        <f ca="1">IFERROR(__xludf.DUMMYFUNCTION("""COMPUTED_VALUE"""),0.00200000000000022)</f>
        <v>2.0000000000002199E-3</v>
      </c>
      <c r="H13" s="15"/>
      <c r="I13" s="16">
        <f ca="1">IFERROR(__xludf.DUMMYFUNCTION("""COMPUTED_VALUE"""),1250000)</f>
        <v>1250000</v>
      </c>
    </row>
    <row r="14" spans="1:10" x14ac:dyDescent="0.3">
      <c r="B14" s="12" t="str">
        <f ca="1">IFERROR(__xludf.DUMMYFUNCTION("""COMPUTED_VALUE"""),"круг")</f>
        <v>круг</v>
      </c>
      <c r="C14" s="7" t="str">
        <f ca="1">IFERROR(__xludf.DUMMYFUNCTION("""COMPUTED_VALUE"""),"07Х16Н6-Ш ( ЭП288-Ш)")</f>
        <v>07Х16Н6-Ш ( ЭП288-Ш)</v>
      </c>
      <c r="D14" s="13">
        <f ca="1">IFERROR(__xludf.DUMMYFUNCTION("""COMPUTED_VALUE"""),25)</f>
        <v>25</v>
      </c>
      <c r="E14" s="13"/>
      <c r="F14" s="14" t="str">
        <f ca="1">IFERROR(__xludf.DUMMYFUNCTION("""COMPUTED_VALUE"""),"УЗК, обточ АТП ту 14-1-1660 2гп")</f>
        <v>УЗК, обточ АТП ту 14-1-1660 2гп</v>
      </c>
      <c r="G14" s="15">
        <f ca="1">IFERROR(__xludf.DUMMYFUNCTION("""COMPUTED_VALUE"""),1)</f>
        <v>1</v>
      </c>
      <c r="H14" s="15"/>
      <c r="I14" s="16">
        <f ca="1">IFERROR(__xludf.DUMMYFUNCTION("""COMPUTED_VALUE"""),1100000)</f>
        <v>1100000</v>
      </c>
    </row>
    <row r="15" spans="1:10" x14ac:dyDescent="0.3">
      <c r="B15" s="12" t="str">
        <f ca="1">IFERROR(__xludf.DUMMYFUNCTION("""COMPUTED_VALUE"""),"круг")</f>
        <v>круг</v>
      </c>
      <c r="C15" s="7" t="str">
        <f ca="1">IFERROR(__xludf.DUMMYFUNCTION("""COMPUTED_VALUE"""),"07Х16Н6-Ш ( ЭП288-Ш)")</f>
        <v>07Х16Н6-Ш ( ЭП288-Ш)</v>
      </c>
      <c r="D15" s="13">
        <f ca="1">IFERROR(__xludf.DUMMYFUNCTION("""COMPUTED_VALUE"""),28)</f>
        <v>28</v>
      </c>
      <c r="E15" s="13"/>
      <c r="F15" s="14" t="str">
        <f ca="1">IFERROR(__xludf.DUMMYFUNCTION("""COMPUTED_VALUE"""),"УЗК, обточ АТП ту 14-1-1660 2гп")</f>
        <v>УЗК, обточ АТП ту 14-1-1660 2гп</v>
      </c>
      <c r="G15" s="15">
        <f ca="1">IFERROR(__xludf.DUMMYFUNCTION("""COMPUTED_VALUE"""),1)</f>
        <v>1</v>
      </c>
      <c r="H15" s="15"/>
      <c r="I15" s="16">
        <f ca="1">IFERROR(__xludf.DUMMYFUNCTION("""COMPUTED_VALUE"""),1100000)</f>
        <v>1100000</v>
      </c>
    </row>
    <row r="16" spans="1:10" x14ac:dyDescent="0.3">
      <c r="B16" s="12" t="str">
        <f ca="1">IFERROR(__xludf.DUMMYFUNCTION("""COMPUTED_VALUE"""),"круг")</f>
        <v>круг</v>
      </c>
      <c r="C16" s="7" t="str">
        <f ca="1">IFERROR(__xludf.DUMMYFUNCTION("""COMPUTED_VALUE"""),"07Х16Н6-Ш ( ЭП288-Ш)")</f>
        <v>07Х16Н6-Ш ( ЭП288-Ш)</v>
      </c>
      <c r="D16" s="13">
        <f ca="1">IFERROR(__xludf.DUMMYFUNCTION("""COMPUTED_VALUE"""),30)</f>
        <v>30</v>
      </c>
      <c r="E16" s="13"/>
      <c r="F16" s="14" t="str">
        <f ca="1">IFERROR(__xludf.DUMMYFUNCTION("""COMPUTED_VALUE"""),"УЗК,  АТП ту 14-1-1660 ")</f>
        <v xml:space="preserve">УЗК,  АТП ту 14-1-1660 </v>
      </c>
      <c r="G16" s="15">
        <f ca="1">IFERROR(__xludf.DUMMYFUNCTION("""COMPUTED_VALUE"""),0.032)</f>
        <v>3.2000000000000001E-2</v>
      </c>
      <c r="H16" s="15"/>
      <c r="I16" s="16">
        <f ca="1">IFERROR(__xludf.DUMMYFUNCTION("""COMPUTED_VALUE"""),1250000)</f>
        <v>1250000</v>
      </c>
    </row>
    <row r="17" spans="2:9" x14ac:dyDescent="0.3">
      <c r="B17" s="12" t="str">
        <f ca="1">IFERROR(__xludf.DUMMYFUNCTION("""COMPUTED_VALUE"""),"круг")</f>
        <v>круг</v>
      </c>
      <c r="C17" s="7" t="str">
        <f ca="1">IFERROR(__xludf.DUMMYFUNCTION("""COMPUTED_VALUE"""),"07Х16Н6-Ш ( ЭП288-Ш)")</f>
        <v>07Х16Н6-Ш ( ЭП288-Ш)</v>
      </c>
      <c r="D17" s="13">
        <f ca="1">IFERROR(__xludf.DUMMYFUNCTION("""COMPUTED_VALUE"""),30)</f>
        <v>30</v>
      </c>
      <c r="E17" s="13"/>
      <c r="F17" s="14" t="str">
        <f ca="1">IFERROR(__xludf.DUMMYFUNCTION("""COMPUTED_VALUE"""),"УЗК,  АТП ту 14-1-1660 ")</f>
        <v xml:space="preserve">УЗК,  АТП ту 14-1-1660 </v>
      </c>
      <c r="G17" s="15">
        <f ca="1">IFERROR(__xludf.DUMMYFUNCTION("""COMPUTED_VALUE"""),0.55)</f>
        <v>0.55000000000000004</v>
      </c>
      <c r="H17" s="15"/>
      <c r="I17" s="16">
        <f ca="1">IFERROR(__xludf.DUMMYFUNCTION("""COMPUTED_VALUE"""),1250000)</f>
        <v>1250000</v>
      </c>
    </row>
    <row r="18" spans="2:9" x14ac:dyDescent="0.3">
      <c r="B18" s="12" t="str">
        <f ca="1">IFERROR(__xludf.DUMMYFUNCTION("""COMPUTED_VALUE"""),"круг")</f>
        <v>круг</v>
      </c>
      <c r="C18" s="7" t="str">
        <f ca="1">IFERROR(__xludf.DUMMYFUNCTION("""COMPUTED_VALUE"""),"07Х16Н6-Ш ( ЭП288-Ш)")</f>
        <v>07Х16Н6-Ш ( ЭП288-Ш)</v>
      </c>
      <c r="D18" s="13">
        <f ca="1">IFERROR(__xludf.DUMMYFUNCTION("""COMPUTED_VALUE"""),30)</f>
        <v>30</v>
      </c>
      <c r="E18" s="13"/>
      <c r="F18" s="14" t="str">
        <f ca="1">IFERROR(__xludf.DUMMYFUNCTION("""COMPUTED_VALUE"""),"УЗК,  АТП ту 14-1-1660 ")</f>
        <v xml:space="preserve">УЗК,  АТП ту 14-1-1660 </v>
      </c>
      <c r="G18" s="15">
        <f ca="1">IFERROR(__xludf.DUMMYFUNCTION("""COMPUTED_VALUE"""),0.55)</f>
        <v>0.55000000000000004</v>
      </c>
      <c r="H18" s="15"/>
      <c r="I18" s="16">
        <f ca="1">IFERROR(__xludf.DUMMYFUNCTION("""COMPUTED_VALUE"""),1250000)</f>
        <v>1250000</v>
      </c>
    </row>
    <row r="19" spans="2:9" x14ac:dyDescent="0.3">
      <c r="B19" s="12" t="str">
        <f ca="1">IFERROR(__xludf.DUMMYFUNCTION("""COMPUTED_VALUE"""),"круг")</f>
        <v>круг</v>
      </c>
      <c r="C19" s="7" t="str">
        <f ca="1">IFERROR(__xludf.DUMMYFUNCTION("""COMPUTED_VALUE"""),"07Х16Н6-Ш ( ЭП288-Ш)")</f>
        <v>07Х16Н6-Ш ( ЭП288-Ш)</v>
      </c>
      <c r="D19" s="13">
        <f ca="1">IFERROR(__xludf.DUMMYFUNCTION("""COMPUTED_VALUE"""),32)</f>
        <v>32</v>
      </c>
      <c r="E19" s="13"/>
      <c r="F19" s="14" t="str">
        <f ca="1">IFERROR(__xludf.DUMMYFUNCTION("""COMPUTED_VALUE"""),"УЗК, обточ АТП ту 14-1-1660 2гп")</f>
        <v>УЗК, обточ АТП ту 14-1-1660 2гп</v>
      </c>
      <c r="G19" s="15">
        <f ca="1">IFERROR(__xludf.DUMMYFUNCTION("""COMPUTED_VALUE"""),1.5)</f>
        <v>1.5</v>
      </c>
      <c r="H19" s="15"/>
      <c r="I19" s="16">
        <f ca="1">IFERROR(__xludf.DUMMYFUNCTION("""COMPUTED_VALUE"""),980000)</f>
        <v>980000</v>
      </c>
    </row>
    <row r="20" spans="2:9" x14ac:dyDescent="0.3">
      <c r="B20" s="12" t="str">
        <f ca="1">IFERROR(__xludf.DUMMYFUNCTION("""COMPUTED_VALUE"""),"круг")</f>
        <v>круг</v>
      </c>
      <c r="C20" s="7" t="str">
        <f ca="1">IFERROR(__xludf.DUMMYFUNCTION("""COMPUTED_VALUE"""),"07Х16Н6-Ш ( ЭП288-Ш)")</f>
        <v>07Х16Н6-Ш ( ЭП288-Ш)</v>
      </c>
      <c r="D20" s="13">
        <f ca="1">IFERROR(__xludf.DUMMYFUNCTION("""COMPUTED_VALUE"""),36)</f>
        <v>36</v>
      </c>
      <c r="E20" s="13"/>
      <c r="F20" s="14" t="str">
        <f ca="1">IFERROR(__xludf.DUMMYFUNCTION("""COMPUTED_VALUE"""),"УЗК, обточ АТП ту 14-1-1660 2гп")</f>
        <v>УЗК, обточ АТП ту 14-1-1660 2гп</v>
      </c>
      <c r="G20" s="15">
        <f ca="1">IFERROR(__xludf.DUMMYFUNCTION("""COMPUTED_VALUE"""),0.572999999999999)</f>
        <v>0.57299999999999895</v>
      </c>
      <c r="H20" s="15"/>
      <c r="I20" s="16">
        <f ca="1">IFERROR(__xludf.DUMMYFUNCTION("""COMPUTED_VALUE"""),1100000)</f>
        <v>1100000</v>
      </c>
    </row>
    <row r="21" spans="2:9" x14ac:dyDescent="0.3">
      <c r="B21" s="12" t="str">
        <f ca="1">IFERROR(__xludf.DUMMYFUNCTION("""COMPUTED_VALUE"""),"круг")</f>
        <v>круг</v>
      </c>
      <c r="C21" s="7" t="str">
        <f ca="1">IFERROR(__xludf.DUMMYFUNCTION("""COMPUTED_VALUE"""),"07Х16Н6-Ш ( ЭП288-Ш)")</f>
        <v>07Х16Н6-Ш ( ЭП288-Ш)</v>
      </c>
      <c r="D21" s="13">
        <f ca="1">IFERROR(__xludf.DUMMYFUNCTION("""COMPUTED_VALUE"""),36)</f>
        <v>36</v>
      </c>
      <c r="E21" s="13"/>
      <c r="F21" s="14" t="str">
        <f ca="1">IFERROR(__xludf.DUMMYFUNCTION("""COMPUTED_VALUE"""),"УЗК, обточ АТП ту 14-1-1660 2гп")</f>
        <v>УЗК, обточ АТП ту 14-1-1660 2гп</v>
      </c>
      <c r="G21" s="15">
        <f ca="1">IFERROR(__xludf.DUMMYFUNCTION("""COMPUTED_VALUE"""),0.588)</f>
        <v>0.58799999999999997</v>
      </c>
      <c r="H21" s="15"/>
      <c r="I21" s="16">
        <f ca="1">IFERROR(__xludf.DUMMYFUNCTION("""COMPUTED_VALUE"""),980000)</f>
        <v>980000</v>
      </c>
    </row>
    <row r="22" spans="2:9" x14ac:dyDescent="0.3">
      <c r="B22" s="12" t="str">
        <f ca="1">IFERROR(__xludf.DUMMYFUNCTION("""COMPUTED_VALUE"""),"круг")</f>
        <v>круг</v>
      </c>
      <c r="C22" s="7" t="str">
        <f ca="1">IFERROR(__xludf.DUMMYFUNCTION("""COMPUTED_VALUE"""),"07Х16Н6-Ш ( ЭП288-Ш)")</f>
        <v>07Х16Н6-Ш ( ЭП288-Ш)</v>
      </c>
      <c r="D22" s="13">
        <f ca="1">IFERROR(__xludf.DUMMYFUNCTION("""COMPUTED_VALUE"""),36)</f>
        <v>36</v>
      </c>
      <c r="E22" s="13"/>
      <c r="F22" s="14" t="str">
        <f ca="1">IFERROR(__xludf.DUMMYFUNCTION("""COMPUTED_VALUE"""),"УЗК, обточ АТП ту 14-1-1660 2гп")</f>
        <v>УЗК, обточ АТП ту 14-1-1660 2гп</v>
      </c>
      <c r="G22" s="15">
        <f ca="1">IFERROR(__xludf.DUMMYFUNCTION("""COMPUTED_VALUE"""),0.65)</f>
        <v>0.65</v>
      </c>
      <c r="H22" s="15"/>
      <c r="I22" s="16">
        <f ca="1">IFERROR(__xludf.DUMMYFUNCTION("""COMPUTED_VALUE"""),980000)</f>
        <v>980000</v>
      </c>
    </row>
    <row r="23" spans="2:9" x14ac:dyDescent="0.3">
      <c r="B23" s="12" t="str">
        <f ca="1">IFERROR(__xludf.DUMMYFUNCTION("""COMPUTED_VALUE"""),"круг")</f>
        <v>круг</v>
      </c>
      <c r="C23" s="7" t="str">
        <f ca="1">IFERROR(__xludf.DUMMYFUNCTION("""COMPUTED_VALUE"""),"07Х16Н6-Ш ( ЭП288-Ш)")</f>
        <v>07Х16Н6-Ш ( ЭП288-Ш)</v>
      </c>
      <c r="D23" s="13">
        <f ca="1">IFERROR(__xludf.DUMMYFUNCTION("""COMPUTED_VALUE"""),36)</f>
        <v>36</v>
      </c>
      <c r="E23" s="13"/>
      <c r="F23" s="14" t="str">
        <f ca="1">IFERROR(__xludf.DUMMYFUNCTION("""COMPUTED_VALUE"""),"УЗК, обточ АТП ту 14-1-1660 2гп")</f>
        <v>УЗК, обточ АТП ту 14-1-1660 2гп</v>
      </c>
      <c r="G23" s="15">
        <f ca="1">IFERROR(__xludf.DUMMYFUNCTION("""COMPUTED_VALUE"""),0.262)</f>
        <v>0.26200000000000001</v>
      </c>
      <c r="H23" s="15"/>
      <c r="I23" s="16">
        <f ca="1">IFERROR(__xludf.DUMMYFUNCTION("""COMPUTED_VALUE"""),980000)</f>
        <v>980000</v>
      </c>
    </row>
    <row r="24" spans="2:9" x14ac:dyDescent="0.3">
      <c r="B24" s="12" t="str">
        <f ca="1">IFERROR(__xludf.DUMMYFUNCTION("""COMPUTED_VALUE"""),"круг")</f>
        <v>круг</v>
      </c>
      <c r="C24" s="7" t="str">
        <f ca="1">IFERROR(__xludf.DUMMYFUNCTION("""COMPUTED_VALUE"""),"07Х16Н6-Ш ( ЭП288-Ш)")</f>
        <v>07Х16Н6-Ш ( ЭП288-Ш)</v>
      </c>
      <c r="D24" s="13">
        <f ca="1">IFERROR(__xludf.DUMMYFUNCTION("""COMPUTED_VALUE"""),38)</f>
        <v>38</v>
      </c>
      <c r="E24" s="13"/>
      <c r="F24" s="14" t="str">
        <f ca="1">IFERROR(__xludf.DUMMYFUNCTION("""COMPUTED_VALUE"""),"УЗК, обточ АТП ту 14-1-1660 2гп")</f>
        <v>УЗК, обточ АТП ту 14-1-1660 2гп</v>
      </c>
      <c r="G24" s="15">
        <f ca="1">IFERROR(__xludf.DUMMYFUNCTION("""COMPUTED_VALUE"""),1.5)</f>
        <v>1.5</v>
      </c>
      <c r="H24" s="15"/>
      <c r="I24" s="16">
        <f ca="1">IFERROR(__xludf.DUMMYFUNCTION("""COMPUTED_VALUE"""),980000)</f>
        <v>980000</v>
      </c>
    </row>
    <row r="25" spans="2:9" x14ac:dyDescent="0.3">
      <c r="B25" s="12" t="str">
        <f ca="1">IFERROR(__xludf.DUMMYFUNCTION("""COMPUTED_VALUE"""),"круг")</f>
        <v>круг</v>
      </c>
      <c r="C25" s="7" t="str">
        <f ca="1">IFERROR(__xludf.DUMMYFUNCTION("""COMPUTED_VALUE"""),"07Х16Н6-Ш ( ЭП288-Ш)")</f>
        <v>07Х16Н6-Ш ( ЭП288-Ш)</v>
      </c>
      <c r="D25" s="13">
        <f ca="1">IFERROR(__xludf.DUMMYFUNCTION("""COMPUTED_VALUE"""),40)</f>
        <v>40</v>
      </c>
      <c r="E25" s="13"/>
      <c r="F25" s="14" t="str">
        <f ca="1">IFERROR(__xludf.DUMMYFUNCTION("""COMPUTED_VALUE"""),"УЗК, обточ АТП ту 14-1-1660 ")</f>
        <v xml:space="preserve">УЗК, обточ АТП ту 14-1-1660 </v>
      </c>
      <c r="G25" s="15">
        <f ca="1">IFERROR(__xludf.DUMMYFUNCTION("""COMPUTED_VALUE"""),0.372)</f>
        <v>0.372</v>
      </c>
      <c r="H25" s="15"/>
      <c r="I25" s="16">
        <f ca="1">IFERROR(__xludf.DUMMYFUNCTION("""COMPUTED_VALUE"""),1100000)</f>
        <v>1100000</v>
      </c>
    </row>
    <row r="26" spans="2:9" x14ac:dyDescent="0.3">
      <c r="B26" s="12" t="str">
        <f ca="1">IFERROR(__xludf.DUMMYFUNCTION("""COMPUTED_VALUE"""),"круг")</f>
        <v>круг</v>
      </c>
      <c r="C26" s="7" t="str">
        <f ca="1">IFERROR(__xludf.DUMMYFUNCTION("""COMPUTED_VALUE"""),"07Х16Н6-Ш ( ЭП288-Ш)")</f>
        <v>07Х16Н6-Ш ( ЭП288-Ш)</v>
      </c>
      <c r="D26" s="13">
        <f ca="1">IFERROR(__xludf.DUMMYFUNCTION("""COMPUTED_VALUE"""),40)</f>
        <v>40</v>
      </c>
      <c r="E26" s="13"/>
      <c r="F26" s="14" t="str">
        <f ca="1">IFERROR(__xludf.DUMMYFUNCTION("""COMPUTED_VALUE"""),"УЗК,  АТП ту 14-1-1660 ")</f>
        <v xml:space="preserve">УЗК,  АТП ту 14-1-1660 </v>
      </c>
      <c r="G26" s="15">
        <f ca="1">IFERROR(__xludf.DUMMYFUNCTION("""COMPUTED_VALUE"""),0.37)</f>
        <v>0.37</v>
      </c>
      <c r="H26" s="15"/>
      <c r="I26" s="16">
        <f ca="1">IFERROR(__xludf.DUMMYFUNCTION("""COMPUTED_VALUE"""),1250000)</f>
        <v>1250000</v>
      </c>
    </row>
    <row r="27" spans="2:9" x14ac:dyDescent="0.3">
      <c r="B27" s="12" t="str">
        <f ca="1">IFERROR(__xludf.DUMMYFUNCTION("""COMPUTED_VALUE"""),"круг")</f>
        <v>круг</v>
      </c>
      <c r="C27" s="7" t="str">
        <f ca="1">IFERROR(__xludf.DUMMYFUNCTION("""COMPUTED_VALUE"""),"07Х16Н6-Ш ( ЭП288-Ш)")</f>
        <v>07Х16Н6-Ш ( ЭП288-Ш)</v>
      </c>
      <c r="D27" s="13">
        <f ca="1">IFERROR(__xludf.DUMMYFUNCTION("""COMPUTED_VALUE"""),40)</f>
        <v>40</v>
      </c>
      <c r="E27" s="13"/>
      <c r="F27" s="14" t="str">
        <f ca="1">IFERROR(__xludf.DUMMYFUNCTION("""COMPUTED_VALUE"""),"УЗК,  АТП ту 14-1-1660 ")</f>
        <v xml:space="preserve">УЗК,  АТП ту 14-1-1660 </v>
      </c>
      <c r="G27" s="15">
        <f ca="1">IFERROR(__xludf.DUMMYFUNCTION("""COMPUTED_VALUE"""),0.37)</f>
        <v>0.37</v>
      </c>
      <c r="H27" s="15"/>
      <c r="I27" s="16">
        <f ca="1">IFERROR(__xludf.DUMMYFUNCTION("""COMPUTED_VALUE"""),1250000)</f>
        <v>1250000</v>
      </c>
    </row>
    <row r="28" spans="2:9" x14ac:dyDescent="0.3">
      <c r="B28" s="12" t="str">
        <f ca="1">IFERROR(__xludf.DUMMYFUNCTION("""COMPUTED_VALUE"""),"круг")</f>
        <v>круг</v>
      </c>
      <c r="C28" s="7" t="str">
        <f ca="1">IFERROR(__xludf.DUMMYFUNCTION("""COMPUTED_VALUE"""),"07Х16Н6-Ш ( ЭП288-Ш)")</f>
        <v>07Х16Н6-Ш ( ЭП288-Ш)</v>
      </c>
      <c r="D28" s="13">
        <f ca="1">IFERROR(__xludf.DUMMYFUNCTION("""COMPUTED_VALUE"""),40)</f>
        <v>40</v>
      </c>
      <c r="E28" s="13"/>
      <c r="F28" s="14" t="str">
        <f ca="1">IFERROR(__xludf.DUMMYFUNCTION("""COMPUTED_VALUE"""),"УЗК,  АТП ту 14-1-1660 ")</f>
        <v xml:space="preserve">УЗК,  АТП ту 14-1-1660 </v>
      </c>
      <c r="G28" s="15">
        <f ca="1">IFERROR(__xludf.DUMMYFUNCTION("""COMPUTED_VALUE"""),0.325)</f>
        <v>0.32500000000000001</v>
      </c>
      <c r="H28" s="15"/>
      <c r="I28" s="16">
        <f ca="1">IFERROR(__xludf.DUMMYFUNCTION("""COMPUTED_VALUE"""),1250000)</f>
        <v>1250000</v>
      </c>
    </row>
    <row r="29" spans="2:9" x14ac:dyDescent="0.3">
      <c r="B29" s="12" t="str">
        <f ca="1">IFERROR(__xludf.DUMMYFUNCTION("""COMPUTED_VALUE"""),"круг")</f>
        <v>круг</v>
      </c>
      <c r="C29" s="7" t="str">
        <f ca="1">IFERROR(__xludf.DUMMYFUNCTION("""COMPUTED_VALUE"""),"07Х16Н6-Ш ( ЭП288-Ш)")</f>
        <v>07Х16Н6-Ш ( ЭП288-Ш)</v>
      </c>
      <c r="D29" s="13">
        <f ca="1">IFERROR(__xludf.DUMMYFUNCTION("""COMPUTED_VALUE"""),42)</f>
        <v>42</v>
      </c>
      <c r="E29" s="13"/>
      <c r="F29" s="14" t="str">
        <f ca="1">IFERROR(__xludf.DUMMYFUNCTION("""COMPUTED_VALUE"""),"УЗК, обточ АТП ту 14-1-1660 2гп")</f>
        <v>УЗК, обточ АТП ту 14-1-1660 2гп</v>
      </c>
      <c r="G29" s="15">
        <f ca="1">IFERROR(__xludf.DUMMYFUNCTION("""COMPUTED_VALUE"""),0.124)</f>
        <v>0.124</v>
      </c>
      <c r="H29" s="15"/>
      <c r="I29" s="16">
        <f ca="1">IFERROR(__xludf.DUMMYFUNCTION("""COMPUTED_VALUE"""),980000)</f>
        <v>980000</v>
      </c>
    </row>
    <row r="30" spans="2:9" x14ac:dyDescent="0.3">
      <c r="B30" s="12" t="str">
        <f ca="1">IFERROR(__xludf.DUMMYFUNCTION("""COMPUTED_VALUE"""),"круг")</f>
        <v>круг</v>
      </c>
      <c r="C30" s="7" t="str">
        <f ca="1">IFERROR(__xludf.DUMMYFUNCTION("""COMPUTED_VALUE"""),"07Х16Н6-Ш ( ЭП288-Ш)")</f>
        <v>07Х16Н6-Ш ( ЭП288-Ш)</v>
      </c>
      <c r="D30" s="13">
        <f ca="1">IFERROR(__xludf.DUMMYFUNCTION("""COMPUTED_VALUE"""),42)</f>
        <v>42</v>
      </c>
      <c r="E30" s="13"/>
      <c r="F30" s="14" t="str">
        <f ca="1">IFERROR(__xludf.DUMMYFUNCTION("""COMPUTED_VALUE"""),"УЗК, обточ АТП ту 14-1-1660 2гп")</f>
        <v>УЗК, обточ АТП ту 14-1-1660 2гп</v>
      </c>
      <c r="G30" s="15">
        <f ca="1">IFERROR(__xludf.DUMMYFUNCTION("""COMPUTED_VALUE"""),1.376)</f>
        <v>1.3759999999999999</v>
      </c>
      <c r="H30" s="15"/>
      <c r="I30" s="16">
        <f ca="1">IFERROR(__xludf.DUMMYFUNCTION("""COMPUTED_VALUE"""),980000)</f>
        <v>980000</v>
      </c>
    </row>
    <row r="31" spans="2:9" x14ac:dyDescent="0.3">
      <c r="B31" s="12" t="str">
        <f ca="1">IFERROR(__xludf.DUMMYFUNCTION("""COMPUTED_VALUE"""),"круг")</f>
        <v>круг</v>
      </c>
      <c r="C31" s="7" t="str">
        <f ca="1">IFERROR(__xludf.DUMMYFUNCTION("""COMPUTED_VALUE"""),"07Х16Н6-Ш ( ЭП288-Ш)")</f>
        <v>07Х16Н6-Ш ( ЭП288-Ш)</v>
      </c>
      <c r="D31" s="13">
        <f ca="1">IFERROR(__xludf.DUMMYFUNCTION("""COMPUTED_VALUE"""),45)</f>
        <v>45</v>
      </c>
      <c r="E31" s="13"/>
      <c r="F31" s="14" t="str">
        <f ca="1">IFERROR(__xludf.DUMMYFUNCTION("""COMPUTED_VALUE"""),"УЗК, обточ АТП ту 14-1-1660 ")</f>
        <v xml:space="preserve">УЗК, обточ АТП ту 14-1-1660 </v>
      </c>
      <c r="G31" s="15">
        <f ca="1">IFERROR(__xludf.DUMMYFUNCTION("""COMPUTED_VALUE"""),2.365)</f>
        <v>2.3650000000000002</v>
      </c>
      <c r="H31" s="15"/>
      <c r="I31" s="16">
        <f ca="1">IFERROR(__xludf.DUMMYFUNCTION("""COMPUTED_VALUE"""),1100000)</f>
        <v>1100000</v>
      </c>
    </row>
    <row r="32" spans="2:9" x14ac:dyDescent="0.3">
      <c r="B32" s="12" t="str">
        <f ca="1">IFERROR(__xludf.DUMMYFUNCTION("""COMPUTED_VALUE"""),"круг")</f>
        <v>круг</v>
      </c>
      <c r="C32" s="7" t="str">
        <f ca="1">IFERROR(__xludf.DUMMYFUNCTION("""COMPUTED_VALUE"""),"07Х16Н6-Ш ( ЭП288-Ш)")</f>
        <v>07Х16Н6-Ш ( ЭП288-Ш)</v>
      </c>
      <c r="D32" s="13">
        <f ca="1">IFERROR(__xludf.DUMMYFUNCTION("""COMPUTED_VALUE"""),45)</f>
        <v>45</v>
      </c>
      <c r="E32" s="13"/>
      <c r="F32" s="14" t="str">
        <f ca="1">IFERROR(__xludf.DUMMYFUNCTION("""COMPUTED_VALUE"""),"УЗК, обточ АТП ту 14-1-1660 ")</f>
        <v xml:space="preserve">УЗК, обточ АТП ту 14-1-1660 </v>
      </c>
      <c r="G32" s="15">
        <f ca="1">IFERROR(__xludf.DUMMYFUNCTION("""COMPUTED_VALUE"""),0.246)</f>
        <v>0.246</v>
      </c>
      <c r="H32" s="15"/>
      <c r="I32" s="16">
        <f ca="1">IFERROR(__xludf.DUMMYFUNCTION("""COMPUTED_VALUE"""),1100000)</f>
        <v>1100000</v>
      </c>
    </row>
    <row r="33" spans="2:9" x14ac:dyDescent="0.3">
      <c r="B33" s="12" t="str">
        <f ca="1">IFERROR(__xludf.DUMMYFUNCTION("""COMPUTED_VALUE"""),"круг")</f>
        <v>круг</v>
      </c>
      <c r="C33" s="7" t="str">
        <f ca="1">IFERROR(__xludf.DUMMYFUNCTION("""COMPUTED_VALUE"""),"07Х16Н6-Ш ( ЭП288-Ш)")</f>
        <v>07Х16Н6-Ш ( ЭП288-Ш)</v>
      </c>
      <c r="D33" s="13">
        <f ca="1">IFERROR(__xludf.DUMMYFUNCTION("""COMPUTED_VALUE"""),48)</f>
        <v>48</v>
      </c>
      <c r="E33" s="13"/>
      <c r="F33" s="14" t="str">
        <f ca="1">IFERROR(__xludf.DUMMYFUNCTION("""COMPUTED_VALUE"""),"УЗК, обточ АТП ту 14-1-1660 2гп")</f>
        <v>УЗК, обточ АТП ту 14-1-1660 2гп</v>
      </c>
      <c r="G33" s="15">
        <f ca="1">IFERROR(__xludf.DUMMYFUNCTION("""COMPUTED_VALUE"""),2)</f>
        <v>2</v>
      </c>
      <c r="H33" s="15"/>
      <c r="I33" s="16">
        <f ca="1">IFERROR(__xludf.DUMMYFUNCTION("""COMPUTED_VALUE"""),980000)</f>
        <v>980000</v>
      </c>
    </row>
    <row r="34" spans="2:9" x14ac:dyDescent="0.3">
      <c r="B34" s="12" t="str">
        <f ca="1">IFERROR(__xludf.DUMMYFUNCTION("""COMPUTED_VALUE"""),"круг")</f>
        <v>круг</v>
      </c>
      <c r="C34" s="7" t="str">
        <f ca="1">IFERROR(__xludf.DUMMYFUNCTION("""COMPUTED_VALUE"""),"07Х16Н6-Ш ( ЭП288-Ш)")</f>
        <v>07Х16Н6-Ш ( ЭП288-Ш)</v>
      </c>
      <c r="D34" s="13">
        <f ca="1">IFERROR(__xludf.DUMMYFUNCTION("""COMPUTED_VALUE"""),50)</f>
        <v>50</v>
      </c>
      <c r="E34" s="13"/>
      <c r="F34" s="14" t="str">
        <f ca="1">IFERROR(__xludf.DUMMYFUNCTION("""COMPUTED_VALUE"""),"УЗК, обточ АТП ту 14-1-1660 2гп")</f>
        <v>УЗК, обточ АТП ту 14-1-1660 2гп</v>
      </c>
      <c r="G34" s="15">
        <f ca="1">IFERROR(__xludf.DUMMYFUNCTION("""COMPUTED_VALUE"""),0.112999999999999)</f>
        <v>0.112999999999999</v>
      </c>
      <c r="H34" s="15"/>
      <c r="I34" s="16">
        <f ca="1">IFERROR(__xludf.DUMMYFUNCTION("""COMPUTED_VALUE"""),1100000)</f>
        <v>1100000</v>
      </c>
    </row>
    <row r="35" spans="2:9" x14ac:dyDescent="0.3">
      <c r="B35" s="12" t="str">
        <f ca="1">IFERROR(__xludf.DUMMYFUNCTION("""COMPUTED_VALUE"""),"круг")</f>
        <v>круг</v>
      </c>
      <c r="C35" s="7" t="str">
        <f ca="1">IFERROR(__xludf.DUMMYFUNCTION("""COMPUTED_VALUE"""),"07Х16Н6-Ш ( ЭП288-Ш)")</f>
        <v>07Х16Н6-Ш ( ЭП288-Ш)</v>
      </c>
      <c r="D35" s="13">
        <f ca="1">IFERROR(__xludf.DUMMYFUNCTION("""COMPUTED_VALUE"""),50)</f>
        <v>50</v>
      </c>
      <c r="E35" s="13"/>
      <c r="F35" s="14" t="str">
        <f ca="1">IFERROR(__xludf.DUMMYFUNCTION("""COMPUTED_VALUE"""),"УЗК, обточ АТП ту 14-1-1660 2гп")</f>
        <v>УЗК, обточ АТП ту 14-1-1660 2гп</v>
      </c>
      <c r="G35" s="15">
        <f ca="1">IFERROR(__xludf.DUMMYFUNCTION("""COMPUTED_VALUE"""),0.811)</f>
        <v>0.81100000000000005</v>
      </c>
      <c r="H35" s="15"/>
      <c r="I35" s="16">
        <f ca="1">IFERROR(__xludf.DUMMYFUNCTION("""COMPUTED_VALUE"""),1100000)</f>
        <v>1100000</v>
      </c>
    </row>
    <row r="36" spans="2:9" x14ac:dyDescent="0.3">
      <c r="B36" s="12" t="str">
        <f ca="1">IFERROR(__xludf.DUMMYFUNCTION("""COMPUTED_VALUE"""),"круг")</f>
        <v>круг</v>
      </c>
      <c r="C36" s="7" t="str">
        <f ca="1">IFERROR(__xludf.DUMMYFUNCTION("""COMPUTED_VALUE"""),"07Х16Н6-Ш ( ЭП288-Ш)")</f>
        <v>07Х16Н6-Ш ( ЭП288-Ш)</v>
      </c>
      <c r="D36" s="13">
        <f ca="1">IFERROR(__xludf.DUMMYFUNCTION("""COMPUTED_VALUE"""),52)</f>
        <v>52</v>
      </c>
      <c r="E36" s="13"/>
      <c r="F36" s="14" t="str">
        <f ca="1">IFERROR(__xludf.DUMMYFUNCTION("""COMPUTED_VALUE"""),"УЗК, обточ АТП ту 14-1-1660 2гп")</f>
        <v>УЗК, обточ АТП ту 14-1-1660 2гп</v>
      </c>
      <c r="G36" s="15">
        <f ca="1">IFERROR(__xludf.DUMMYFUNCTION("""COMPUTED_VALUE"""),2)</f>
        <v>2</v>
      </c>
      <c r="H36" s="15"/>
      <c r="I36" s="16">
        <f ca="1">IFERROR(__xludf.DUMMYFUNCTION("""COMPUTED_VALUE"""),980000)</f>
        <v>980000</v>
      </c>
    </row>
    <row r="37" spans="2:9" x14ac:dyDescent="0.3">
      <c r="B37" s="12" t="str">
        <f ca="1">IFERROR(__xludf.DUMMYFUNCTION("""COMPUTED_VALUE"""),"круг")</f>
        <v>круг</v>
      </c>
      <c r="C37" s="7" t="str">
        <f ca="1">IFERROR(__xludf.DUMMYFUNCTION("""COMPUTED_VALUE"""),"07Х16Н6-Ш ( ЭП288-Ш)")</f>
        <v>07Х16Н6-Ш ( ЭП288-Ш)</v>
      </c>
      <c r="D37" s="13">
        <f ca="1">IFERROR(__xludf.DUMMYFUNCTION("""COMPUTED_VALUE"""),56)</f>
        <v>56</v>
      </c>
      <c r="E37" s="13"/>
      <c r="F37" s="14" t="str">
        <f ca="1">IFERROR(__xludf.DUMMYFUNCTION("""COMPUTED_VALUE"""),"УЗК, обточ АТП ту 14-1-1660 ")</f>
        <v xml:space="preserve">УЗК, обточ АТП ту 14-1-1660 </v>
      </c>
      <c r="G37" s="15">
        <f ca="1">IFERROR(__xludf.DUMMYFUNCTION("""COMPUTED_VALUE"""),2.574)</f>
        <v>2.5739999999999998</v>
      </c>
      <c r="H37" s="15"/>
      <c r="I37" s="16">
        <f ca="1">IFERROR(__xludf.DUMMYFUNCTION("""COMPUTED_VALUE"""),1100000)</f>
        <v>1100000</v>
      </c>
    </row>
    <row r="38" spans="2:9" x14ac:dyDescent="0.3">
      <c r="B38" s="12" t="str">
        <f ca="1">IFERROR(__xludf.DUMMYFUNCTION("""COMPUTED_VALUE"""),"круг")</f>
        <v>круг</v>
      </c>
      <c r="C38" s="7" t="str">
        <f ca="1">IFERROR(__xludf.DUMMYFUNCTION("""COMPUTED_VALUE"""),"07Х16Н6-Ш ( ЭП288-Ш)")</f>
        <v>07Х16Н6-Ш ( ЭП288-Ш)</v>
      </c>
      <c r="D38" s="13">
        <f ca="1">IFERROR(__xludf.DUMMYFUNCTION("""COMPUTED_VALUE"""),56)</f>
        <v>56</v>
      </c>
      <c r="E38" s="13"/>
      <c r="F38" s="14" t="str">
        <f ca="1">IFERROR(__xludf.DUMMYFUNCTION("""COMPUTED_VALUE"""),"УЗК, обточ АТП ту 14-1-1660 2гп")</f>
        <v>УЗК, обточ АТП ту 14-1-1660 2гп</v>
      </c>
      <c r="G38" s="15">
        <f ca="1">IFERROR(__xludf.DUMMYFUNCTION("""COMPUTED_VALUE"""),0.82)</f>
        <v>0.82</v>
      </c>
      <c r="H38" s="15"/>
      <c r="I38" s="16">
        <f ca="1">IFERROR(__xludf.DUMMYFUNCTION("""COMPUTED_VALUE"""),1100000)</f>
        <v>1100000</v>
      </c>
    </row>
    <row r="39" spans="2:9" x14ac:dyDescent="0.3">
      <c r="B39" s="12" t="str">
        <f ca="1">IFERROR(__xludf.DUMMYFUNCTION("""COMPUTED_VALUE"""),"круг")</f>
        <v>круг</v>
      </c>
      <c r="C39" s="7" t="str">
        <f ca="1">IFERROR(__xludf.DUMMYFUNCTION("""COMPUTED_VALUE"""),"07Х16Н6-Ш ( ЭП288-Ш)")</f>
        <v>07Х16Н6-Ш ( ЭП288-Ш)</v>
      </c>
      <c r="D39" s="13">
        <f ca="1">IFERROR(__xludf.DUMMYFUNCTION("""COMPUTED_VALUE"""),56)</f>
        <v>56</v>
      </c>
      <c r="E39" s="13"/>
      <c r="F39" s="14" t="str">
        <f ca="1">IFERROR(__xludf.DUMMYFUNCTION("""COMPUTED_VALUE"""),"УЗК, обточ АТП ту 14-1-1660 2гп")</f>
        <v>УЗК, обточ АТП ту 14-1-1660 2гп</v>
      </c>
      <c r="G39" s="15">
        <f ca="1">IFERROR(__xludf.DUMMYFUNCTION("""COMPUTED_VALUE"""),2.575)</f>
        <v>2.5750000000000002</v>
      </c>
      <c r="H39" s="15"/>
      <c r="I39" s="16">
        <f ca="1">IFERROR(__xludf.DUMMYFUNCTION("""COMPUTED_VALUE"""),1100000)</f>
        <v>1100000</v>
      </c>
    </row>
    <row r="40" spans="2:9" x14ac:dyDescent="0.3">
      <c r="B40" s="12" t="str">
        <f ca="1">IFERROR(__xludf.DUMMYFUNCTION("""COMPUTED_VALUE"""),"круг")</f>
        <v>круг</v>
      </c>
      <c r="C40" s="7" t="str">
        <f ca="1">IFERROR(__xludf.DUMMYFUNCTION("""COMPUTED_VALUE"""),"07Х16Н6-Ш ( ЭП288-Ш)")</f>
        <v>07Х16Н6-Ш ( ЭП288-Ш)</v>
      </c>
      <c r="D40" s="13">
        <f ca="1">IFERROR(__xludf.DUMMYFUNCTION("""COMPUTED_VALUE"""),56)</f>
        <v>56</v>
      </c>
      <c r="E40" s="13"/>
      <c r="F40" s="14" t="str">
        <f ca="1">IFERROR(__xludf.DUMMYFUNCTION("""COMPUTED_VALUE"""),"УЗК, обточ АТП ту 14-1-1660 ")</f>
        <v xml:space="preserve">УЗК, обточ АТП ту 14-1-1660 </v>
      </c>
      <c r="G40" s="15">
        <f ca="1">IFERROR(__xludf.DUMMYFUNCTION("""COMPUTED_VALUE"""),0.2)</f>
        <v>0.2</v>
      </c>
      <c r="H40" s="15"/>
      <c r="I40" s="16">
        <f ca="1">IFERROR(__xludf.DUMMYFUNCTION("""COMPUTED_VALUE"""),1100000)</f>
        <v>1100000</v>
      </c>
    </row>
    <row r="41" spans="2:9" x14ac:dyDescent="0.3">
      <c r="B41" s="12" t="str">
        <f ca="1">IFERROR(__xludf.DUMMYFUNCTION("""COMPUTED_VALUE"""),"круг")</f>
        <v>круг</v>
      </c>
      <c r="C41" s="7" t="str">
        <f ca="1">IFERROR(__xludf.DUMMYFUNCTION("""COMPUTED_VALUE"""),"07Х16Н6-Ш ( ЭП288-Ш)")</f>
        <v>07Х16Н6-Ш ( ЭП288-Ш)</v>
      </c>
      <c r="D41" s="13">
        <f ca="1">IFERROR(__xludf.DUMMYFUNCTION("""COMPUTED_VALUE"""),58)</f>
        <v>58</v>
      </c>
      <c r="E41" s="13"/>
      <c r="F41" s="14" t="str">
        <f ca="1">IFERROR(__xludf.DUMMYFUNCTION("""COMPUTED_VALUE"""),"УЗК, обточ АТП ту 14-1-1660 2гп")</f>
        <v>УЗК, обточ АТП ту 14-1-1660 2гп</v>
      </c>
      <c r="G41" s="15">
        <f ca="1">IFERROR(__xludf.DUMMYFUNCTION("""COMPUTED_VALUE"""),0.2)</f>
        <v>0.2</v>
      </c>
      <c r="H41" s="15"/>
      <c r="I41" s="16">
        <f ca="1">IFERROR(__xludf.DUMMYFUNCTION("""COMPUTED_VALUE"""),980000)</f>
        <v>980000</v>
      </c>
    </row>
    <row r="42" spans="2:9" x14ac:dyDescent="0.3">
      <c r="B42" s="12" t="str">
        <f ca="1">IFERROR(__xludf.DUMMYFUNCTION("""COMPUTED_VALUE"""),"круг")</f>
        <v>круг</v>
      </c>
      <c r="C42" s="7" t="str">
        <f ca="1">IFERROR(__xludf.DUMMYFUNCTION("""COMPUTED_VALUE"""),"07Х16Н6-Ш ( ЭП288-Ш)")</f>
        <v>07Х16Н6-Ш ( ЭП288-Ш)</v>
      </c>
      <c r="D42" s="13">
        <f ca="1">IFERROR(__xludf.DUMMYFUNCTION("""COMPUTED_VALUE"""),58)</f>
        <v>58</v>
      </c>
      <c r="E42" s="13"/>
      <c r="F42" s="14" t="str">
        <f ca="1">IFERROR(__xludf.DUMMYFUNCTION("""COMPUTED_VALUE"""),"УЗК, обточ АТП ту 14-1-1660 2гп")</f>
        <v>УЗК, обточ АТП ту 14-1-1660 2гп</v>
      </c>
      <c r="G42" s="15">
        <f ca="1">IFERROR(__xludf.DUMMYFUNCTION("""COMPUTED_VALUE"""),1.756)</f>
        <v>1.756</v>
      </c>
      <c r="H42" s="15"/>
      <c r="I42" s="16">
        <f ca="1">IFERROR(__xludf.DUMMYFUNCTION("""COMPUTED_VALUE"""),980000)</f>
        <v>980000</v>
      </c>
    </row>
    <row r="43" spans="2:9" x14ac:dyDescent="0.3">
      <c r="B43" s="12" t="str">
        <f ca="1">IFERROR(__xludf.DUMMYFUNCTION("""COMPUTED_VALUE"""),"круг")</f>
        <v>круг</v>
      </c>
      <c r="C43" s="7" t="str">
        <f ca="1">IFERROR(__xludf.DUMMYFUNCTION("""COMPUTED_VALUE"""),"07Х16Н6-Ш ( ЭП288-Ш)")</f>
        <v>07Х16Н6-Ш ( ЭП288-Ш)</v>
      </c>
      <c r="D43" s="13">
        <f ca="1">IFERROR(__xludf.DUMMYFUNCTION("""COMPUTED_VALUE"""),60)</f>
        <v>60</v>
      </c>
      <c r="E43" s="13"/>
      <c r="F43" s="14" t="str">
        <f ca="1">IFERROR(__xludf.DUMMYFUNCTION("""COMPUTED_VALUE"""),"УЗК, обточ АТП ту 14-1-1660 ")</f>
        <v xml:space="preserve">УЗК, обточ АТП ту 14-1-1660 </v>
      </c>
      <c r="G43" s="15">
        <f ca="1">IFERROR(__xludf.DUMMYFUNCTION("""COMPUTED_VALUE"""),0.101)</f>
        <v>0.10100000000000001</v>
      </c>
      <c r="H43" s="15"/>
      <c r="I43" s="16">
        <f ca="1">IFERROR(__xludf.DUMMYFUNCTION("""COMPUTED_VALUE"""),1100000)</f>
        <v>1100000</v>
      </c>
    </row>
    <row r="44" spans="2:9" x14ac:dyDescent="0.3">
      <c r="B44" s="12" t="str">
        <f ca="1">IFERROR(__xludf.DUMMYFUNCTION("""COMPUTED_VALUE"""),"круг")</f>
        <v>круг</v>
      </c>
      <c r="C44" s="7" t="str">
        <f ca="1">IFERROR(__xludf.DUMMYFUNCTION("""COMPUTED_VALUE"""),"07Х16Н6-Ш ( ЭП288-Ш)")</f>
        <v>07Х16Н6-Ш ( ЭП288-Ш)</v>
      </c>
      <c r="D44" s="13">
        <f ca="1">IFERROR(__xludf.DUMMYFUNCTION("""COMPUTED_VALUE"""),60)</f>
        <v>60</v>
      </c>
      <c r="E44" s="13"/>
      <c r="F44" s="14" t="str">
        <f ca="1">IFERROR(__xludf.DUMMYFUNCTION("""COMPUTED_VALUE"""),"УЗК,  АТП ту 14-1-1660 ")</f>
        <v xml:space="preserve">УЗК,  АТП ту 14-1-1660 </v>
      </c>
      <c r="G44" s="15">
        <f ca="1">IFERROR(__xludf.DUMMYFUNCTION("""COMPUTED_VALUE"""),0.8)</f>
        <v>0.8</v>
      </c>
      <c r="H44" s="15"/>
      <c r="I44" s="16">
        <f ca="1">IFERROR(__xludf.DUMMYFUNCTION("""COMPUTED_VALUE"""),1250000)</f>
        <v>1250000</v>
      </c>
    </row>
    <row r="45" spans="2:9" x14ac:dyDescent="0.3">
      <c r="B45" s="12" t="str">
        <f ca="1">IFERROR(__xludf.DUMMYFUNCTION("""COMPUTED_VALUE"""),"круг")</f>
        <v>круг</v>
      </c>
      <c r="C45" s="7" t="str">
        <f ca="1">IFERROR(__xludf.DUMMYFUNCTION("""COMPUTED_VALUE"""),"07Х16Н6-Ш ( ЭП288-Ш)")</f>
        <v>07Х16Н6-Ш ( ЭП288-Ш)</v>
      </c>
      <c r="D45" s="13">
        <f ca="1">IFERROR(__xludf.DUMMYFUNCTION("""COMPUTED_VALUE"""),60)</f>
        <v>60</v>
      </c>
      <c r="E45" s="13"/>
      <c r="F45" s="14" t="str">
        <f ca="1">IFERROR(__xludf.DUMMYFUNCTION("""COMPUTED_VALUE"""),"УЗК,  АТП ту 14-1-1660 ")</f>
        <v xml:space="preserve">УЗК,  АТП ту 14-1-1660 </v>
      </c>
      <c r="G45" s="15">
        <f ca="1">IFERROR(__xludf.DUMMYFUNCTION("""COMPUTED_VALUE"""),0.8)</f>
        <v>0.8</v>
      </c>
      <c r="H45" s="15"/>
      <c r="I45" s="16">
        <f ca="1">IFERROR(__xludf.DUMMYFUNCTION("""COMPUTED_VALUE"""),1250000)</f>
        <v>1250000</v>
      </c>
    </row>
    <row r="46" spans="2:9" x14ac:dyDescent="0.3">
      <c r="B46" s="12" t="str">
        <f ca="1">IFERROR(__xludf.DUMMYFUNCTION("""COMPUTED_VALUE"""),"круг")</f>
        <v>круг</v>
      </c>
      <c r="C46" s="7" t="str">
        <f ca="1">IFERROR(__xludf.DUMMYFUNCTION("""COMPUTED_VALUE"""),"07Х16Н6-Ш ( ЭП288-Ш)")</f>
        <v>07Х16Н6-Ш ( ЭП288-Ш)</v>
      </c>
      <c r="D46" s="13">
        <f ca="1">IFERROR(__xludf.DUMMYFUNCTION("""COMPUTED_VALUE"""),65)</f>
        <v>65</v>
      </c>
      <c r="E46" s="13"/>
      <c r="F46" s="14" t="str">
        <f ca="1">IFERROR(__xludf.DUMMYFUNCTION("""COMPUTED_VALUE"""),"УЗК, обточ АТП ту 14-1-1660 2гп")</f>
        <v>УЗК, обточ АТП ту 14-1-1660 2гп</v>
      </c>
      <c r="G46" s="15">
        <f ca="1">IFERROR(__xludf.DUMMYFUNCTION("""COMPUTED_VALUE"""),2)</f>
        <v>2</v>
      </c>
      <c r="H46" s="15"/>
      <c r="I46" s="16">
        <f ca="1">IFERROR(__xludf.DUMMYFUNCTION("""COMPUTED_VALUE"""),980000)</f>
        <v>980000</v>
      </c>
    </row>
    <row r="47" spans="2:9" x14ac:dyDescent="0.3">
      <c r="B47" s="12" t="str">
        <f ca="1">IFERROR(__xludf.DUMMYFUNCTION("""COMPUTED_VALUE"""),"круг")</f>
        <v>круг</v>
      </c>
      <c r="C47" s="7" t="str">
        <f ca="1">IFERROR(__xludf.DUMMYFUNCTION("""COMPUTED_VALUE"""),"07Х16Н6-Ш ( ЭП288-Ш)")</f>
        <v>07Х16Н6-Ш ( ЭП288-Ш)</v>
      </c>
      <c r="D47" s="13">
        <f ca="1">IFERROR(__xludf.DUMMYFUNCTION("""COMPUTED_VALUE"""),70)</f>
        <v>70</v>
      </c>
      <c r="E47" s="13"/>
      <c r="F47" s="14" t="str">
        <f ca="1">IFERROR(__xludf.DUMMYFUNCTION("""COMPUTED_VALUE"""),"УЗК, обточ АТП ту 14-1-1660 2гп")</f>
        <v>УЗК, обточ АТП ту 14-1-1660 2гп</v>
      </c>
      <c r="G47" s="15">
        <f ca="1">IFERROR(__xludf.DUMMYFUNCTION("""COMPUTED_VALUE"""),0.189999999999999)</f>
        <v>0.189999999999999</v>
      </c>
      <c r="H47" s="15"/>
      <c r="I47" s="16">
        <f ca="1">IFERROR(__xludf.DUMMYFUNCTION("""COMPUTED_VALUE"""),1100000)</f>
        <v>1100000</v>
      </c>
    </row>
    <row r="48" spans="2:9" x14ac:dyDescent="0.3">
      <c r="B48" s="12" t="str">
        <f ca="1">IFERROR(__xludf.DUMMYFUNCTION("""COMPUTED_VALUE"""),"круг")</f>
        <v>круг</v>
      </c>
      <c r="C48" s="7" t="str">
        <f ca="1">IFERROR(__xludf.DUMMYFUNCTION("""COMPUTED_VALUE"""),"07Х16Н6-Ш ( ЭП288-Ш)")</f>
        <v>07Х16Н6-Ш ( ЭП288-Ш)</v>
      </c>
      <c r="D48" s="13">
        <f ca="1">IFERROR(__xludf.DUMMYFUNCTION("""COMPUTED_VALUE"""),70)</f>
        <v>70</v>
      </c>
      <c r="E48" s="13"/>
      <c r="F48" s="14" t="str">
        <f ca="1">IFERROR(__xludf.DUMMYFUNCTION("""COMPUTED_VALUE"""),"УЗК, обточ АТП ту 14-1-1660 2гп")</f>
        <v>УЗК, обточ АТП ту 14-1-1660 2гп</v>
      </c>
      <c r="G48" s="15">
        <f ca="1">IFERROR(__xludf.DUMMYFUNCTION("""COMPUTED_VALUE"""),0.255)</f>
        <v>0.255</v>
      </c>
      <c r="H48" s="15"/>
      <c r="I48" s="16">
        <f ca="1">IFERROR(__xludf.DUMMYFUNCTION("""COMPUTED_VALUE"""),1100000)</f>
        <v>1100000</v>
      </c>
    </row>
    <row r="49" spans="2:9" x14ac:dyDescent="0.3">
      <c r="B49" s="12" t="str">
        <f ca="1">IFERROR(__xludf.DUMMYFUNCTION("""COMPUTED_VALUE"""),"круг")</f>
        <v>круг</v>
      </c>
      <c r="C49" s="7" t="str">
        <f ca="1">IFERROR(__xludf.DUMMYFUNCTION("""COMPUTED_VALUE"""),"07Х16Н6-Ш ( ЭП288-Ш)")</f>
        <v>07Х16Н6-Ш ( ЭП288-Ш)</v>
      </c>
      <c r="D49" s="13">
        <f ca="1">IFERROR(__xludf.DUMMYFUNCTION("""COMPUTED_VALUE"""),70)</f>
        <v>70</v>
      </c>
      <c r="E49" s="13"/>
      <c r="F49" s="14" t="str">
        <f ca="1">IFERROR(__xludf.DUMMYFUNCTION("""COMPUTED_VALUE"""),"УЗК, обточ АТП ту 14-1-1660 2гп")</f>
        <v>УЗК, обточ АТП ту 14-1-1660 2гп</v>
      </c>
      <c r="G49" s="15">
        <f ca="1">IFERROR(__xludf.DUMMYFUNCTION("""COMPUTED_VALUE"""),0.615)</f>
        <v>0.61499999999999999</v>
      </c>
      <c r="H49" s="15"/>
      <c r="I49" s="16">
        <f ca="1">IFERROR(__xludf.DUMMYFUNCTION("""COMPUTED_VALUE"""),1100000)</f>
        <v>1100000</v>
      </c>
    </row>
    <row r="50" spans="2:9" x14ac:dyDescent="0.3">
      <c r="B50" s="12" t="str">
        <f ca="1">IFERROR(__xludf.DUMMYFUNCTION("""COMPUTED_VALUE"""),"круг")</f>
        <v>круг</v>
      </c>
      <c r="C50" s="7" t="str">
        <f ca="1">IFERROR(__xludf.DUMMYFUNCTION("""COMPUTED_VALUE"""),"07Х16Н6-Ш ( ЭП288-Ш)")</f>
        <v>07Х16Н6-Ш ( ЭП288-Ш)</v>
      </c>
      <c r="D50" s="13">
        <f ca="1">IFERROR(__xludf.DUMMYFUNCTION("""COMPUTED_VALUE"""),73)</f>
        <v>73</v>
      </c>
      <c r="E50" s="13"/>
      <c r="F50" s="14" t="str">
        <f ca="1">IFERROR(__xludf.DUMMYFUNCTION("""COMPUTED_VALUE"""),"УЗК, АТП ту 14-1-1660 ")</f>
        <v xml:space="preserve">УЗК, АТП ту 14-1-1660 </v>
      </c>
      <c r="G50" s="15">
        <f ca="1">IFERROR(__xludf.DUMMYFUNCTION("""COMPUTED_VALUE"""),0.355)</f>
        <v>0.35499999999999998</v>
      </c>
      <c r="H50" s="15"/>
      <c r="I50" s="16">
        <f ca="1">IFERROR(__xludf.DUMMYFUNCTION("""COMPUTED_VALUE"""),980000)</f>
        <v>980000</v>
      </c>
    </row>
    <row r="51" spans="2:9" x14ac:dyDescent="0.3">
      <c r="B51" s="12" t="str">
        <f ca="1">IFERROR(__xludf.DUMMYFUNCTION("""COMPUTED_VALUE"""),"круг")</f>
        <v>круг</v>
      </c>
      <c r="C51" s="7" t="str">
        <f ca="1">IFERROR(__xludf.DUMMYFUNCTION("""COMPUTED_VALUE"""),"07Х16Н6-Ш ( ЭП288-Ш)")</f>
        <v>07Х16Н6-Ш ( ЭП288-Ш)</v>
      </c>
      <c r="D51" s="13">
        <f ca="1">IFERROR(__xludf.DUMMYFUNCTION("""COMPUTED_VALUE"""),75)</f>
        <v>75</v>
      </c>
      <c r="E51" s="13"/>
      <c r="F51" s="14" t="str">
        <f ca="1">IFERROR(__xludf.DUMMYFUNCTION("""COMPUTED_VALUE"""),"УЗК, обточ АТП ту 14-1-1660 2гп")</f>
        <v>УЗК, обточ АТП ту 14-1-1660 2гп</v>
      </c>
      <c r="G51" s="15">
        <f ca="1">IFERROR(__xludf.DUMMYFUNCTION("""COMPUTED_VALUE"""),1.05)</f>
        <v>1.05</v>
      </c>
      <c r="H51" s="15"/>
      <c r="I51" s="16">
        <f ca="1">IFERROR(__xludf.DUMMYFUNCTION("""COMPUTED_VALUE"""),980000)</f>
        <v>980000</v>
      </c>
    </row>
    <row r="52" spans="2:9" x14ac:dyDescent="0.3">
      <c r="B52" s="12" t="str">
        <f ca="1">IFERROR(__xludf.DUMMYFUNCTION("""COMPUTED_VALUE"""),"круг")</f>
        <v>круг</v>
      </c>
      <c r="C52" s="7" t="str">
        <f ca="1">IFERROR(__xludf.DUMMYFUNCTION("""COMPUTED_VALUE"""),"07Х16Н6-Ш ( ЭП288-Ш)")</f>
        <v>07Х16Н6-Ш ( ЭП288-Ш)</v>
      </c>
      <c r="D52" s="13">
        <f ca="1">IFERROR(__xludf.DUMMYFUNCTION("""COMPUTED_VALUE"""),75)</f>
        <v>75</v>
      </c>
      <c r="E52" s="13"/>
      <c r="F52" s="14" t="str">
        <f ca="1">IFERROR(__xludf.DUMMYFUNCTION("""COMPUTED_VALUE"""),"УЗК, обточ АТП ту 14-1-1660 2гп")</f>
        <v>УЗК, обточ АТП ту 14-1-1660 2гп</v>
      </c>
      <c r="G52" s="15">
        <f ca="1">IFERROR(__xludf.DUMMYFUNCTION("""COMPUTED_VALUE"""),0.95)</f>
        <v>0.95</v>
      </c>
      <c r="H52" s="15"/>
      <c r="I52" s="16">
        <f ca="1">IFERROR(__xludf.DUMMYFUNCTION("""COMPUTED_VALUE"""),980000)</f>
        <v>980000</v>
      </c>
    </row>
    <row r="53" spans="2:9" x14ac:dyDescent="0.3">
      <c r="B53" s="12" t="str">
        <f ca="1">IFERROR(__xludf.DUMMYFUNCTION("""COMPUTED_VALUE"""),"круг")</f>
        <v>круг</v>
      </c>
      <c r="C53" s="7" t="str">
        <f ca="1">IFERROR(__xludf.DUMMYFUNCTION("""COMPUTED_VALUE"""),"07Х16Н6-Ш ( ЭП288-Ш)")</f>
        <v>07Х16Н6-Ш ( ЭП288-Ш)</v>
      </c>
      <c r="D53" s="13">
        <f ca="1">IFERROR(__xludf.DUMMYFUNCTION("""COMPUTED_VALUE"""),80)</f>
        <v>80</v>
      </c>
      <c r="E53" s="13"/>
      <c r="F53" s="14" t="str">
        <f ca="1">IFERROR(__xludf.DUMMYFUNCTION("""COMPUTED_VALUE"""),"УЗК, обточ АТП ту 14-1-1660 2гп")</f>
        <v>УЗК, обточ АТП ту 14-1-1660 2гп</v>
      </c>
      <c r="G53" s="15">
        <f ca="1">IFERROR(__xludf.DUMMYFUNCTION("""COMPUTED_VALUE"""),0.025)</f>
        <v>2.5000000000000001E-2</v>
      </c>
      <c r="H53" s="15"/>
      <c r="I53" s="16">
        <f ca="1">IFERROR(__xludf.DUMMYFUNCTION("""COMPUTED_VALUE"""),1100000)</f>
        <v>1100000</v>
      </c>
    </row>
    <row r="54" spans="2:9" x14ac:dyDescent="0.3">
      <c r="B54" s="12" t="str">
        <f ca="1">IFERROR(__xludf.DUMMYFUNCTION("""COMPUTED_VALUE"""),"круг")</f>
        <v>круг</v>
      </c>
      <c r="C54" s="7" t="str">
        <f ca="1">IFERROR(__xludf.DUMMYFUNCTION("""COMPUTED_VALUE"""),"07Х16Н6-Ш ( ЭП288-Ш)")</f>
        <v>07Х16Н6-Ш ( ЭП288-Ш)</v>
      </c>
      <c r="D54" s="13">
        <f ca="1">IFERROR(__xludf.DUMMYFUNCTION("""COMPUTED_VALUE"""),80)</f>
        <v>80</v>
      </c>
      <c r="E54" s="13"/>
      <c r="F54" s="14" t="str">
        <f ca="1">IFERROR(__xludf.DUMMYFUNCTION("""COMPUTED_VALUE"""),"УЗК, обточ АТП ту 14-1-1660 2гп")</f>
        <v>УЗК, обточ АТП ту 14-1-1660 2гп</v>
      </c>
      <c r="G54" s="15">
        <f ca="1">IFERROR(__xludf.DUMMYFUNCTION("""COMPUTED_VALUE"""),0.59)</f>
        <v>0.59</v>
      </c>
      <c r="H54" s="15"/>
      <c r="I54" s="16">
        <f ca="1">IFERROR(__xludf.DUMMYFUNCTION("""COMPUTED_VALUE"""),1100000)</f>
        <v>1100000</v>
      </c>
    </row>
    <row r="55" spans="2:9" x14ac:dyDescent="0.3">
      <c r="B55" s="12" t="str">
        <f ca="1">IFERROR(__xludf.DUMMYFUNCTION("""COMPUTED_VALUE"""),"круг")</f>
        <v>круг</v>
      </c>
      <c r="C55" s="7" t="str">
        <f ca="1">IFERROR(__xludf.DUMMYFUNCTION("""COMPUTED_VALUE"""),"07Х16Н6-Ш ( ЭП288-Ш)")</f>
        <v>07Х16Н6-Ш ( ЭП288-Ш)</v>
      </c>
      <c r="D55" s="13">
        <f ca="1">IFERROR(__xludf.DUMMYFUNCTION("""COMPUTED_VALUE"""),80)</f>
        <v>80</v>
      </c>
      <c r="E55" s="13"/>
      <c r="F55" s="14" t="str">
        <f ca="1">IFERROR(__xludf.DUMMYFUNCTION("""COMPUTED_VALUE"""),"УЗК, обточ АТП ту 14-1-1660 2гп")</f>
        <v>УЗК, обточ АТП ту 14-1-1660 2гп</v>
      </c>
      <c r="G55" s="15">
        <f ca="1">IFERROR(__xludf.DUMMYFUNCTION("""COMPUTED_VALUE"""),0.55)</f>
        <v>0.55000000000000004</v>
      </c>
      <c r="H55" s="15"/>
      <c r="I55" s="16">
        <f ca="1">IFERROR(__xludf.DUMMYFUNCTION("""COMPUTED_VALUE"""),1100000)</f>
        <v>1100000</v>
      </c>
    </row>
    <row r="56" spans="2:9" x14ac:dyDescent="0.3">
      <c r="B56" s="12" t="str">
        <f ca="1">IFERROR(__xludf.DUMMYFUNCTION("""COMPUTED_VALUE"""),"круг")</f>
        <v>круг</v>
      </c>
      <c r="C56" s="7" t="str">
        <f ca="1">IFERROR(__xludf.DUMMYFUNCTION("""COMPUTED_VALUE"""),"07Х16Н6-Ш ( ЭП288-Ш)")</f>
        <v>07Х16Н6-Ш ( ЭП288-Ш)</v>
      </c>
      <c r="D56" s="13">
        <f ca="1">IFERROR(__xludf.DUMMYFUNCTION("""COMPUTED_VALUE"""),90)</f>
        <v>90</v>
      </c>
      <c r="E56" s="13"/>
      <c r="F56" s="14" t="str">
        <f ca="1">IFERROR(__xludf.DUMMYFUNCTION("""COMPUTED_VALUE"""),"УЗК, обточ АТП ту 14-1-1660 ")</f>
        <v xml:space="preserve">УЗК, обточ АТП ту 14-1-1660 </v>
      </c>
      <c r="G56" s="15">
        <f ca="1">IFERROR(__xludf.DUMMYFUNCTION("""COMPUTED_VALUE"""),2.4777)</f>
        <v>2.4777</v>
      </c>
      <c r="H56" s="15"/>
      <c r="I56" s="16">
        <f ca="1">IFERROR(__xludf.DUMMYFUNCTION("""COMPUTED_VALUE"""),1100000)</f>
        <v>1100000</v>
      </c>
    </row>
    <row r="57" spans="2:9" x14ac:dyDescent="0.3">
      <c r="B57" s="12" t="str">
        <f ca="1">IFERROR(__xludf.DUMMYFUNCTION("""COMPUTED_VALUE"""),"круг")</f>
        <v>круг</v>
      </c>
      <c r="C57" s="7" t="str">
        <f ca="1">IFERROR(__xludf.DUMMYFUNCTION("""COMPUTED_VALUE"""),"07Х16Н6-Ш ( ЭП288-Ш)")</f>
        <v>07Х16Н6-Ш ( ЭП288-Ш)</v>
      </c>
      <c r="D57" s="13">
        <f ca="1">IFERROR(__xludf.DUMMYFUNCTION("""COMPUTED_VALUE"""),100)</f>
        <v>100</v>
      </c>
      <c r="E57" s="13"/>
      <c r="F57" s="14" t="str">
        <f ca="1">IFERROR(__xludf.DUMMYFUNCTION("""COMPUTED_VALUE"""),"УЗК, обточ АТП ту 14-1-1660 2гп")</f>
        <v>УЗК, обточ АТП ту 14-1-1660 2гп</v>
      </c>
      <c r="G57" s="15">
        <f ca="1">IFERROR(__xludf.DUMMYFUNCTION("""COMPUTED_VALUE"""),0.982)</f>
        <v>0.98199999999999998</v>
      </c>
      <c r="H57" s="15"/>
      <c r="I57" s="16">
        <f ca="1">IFERROR(__xludf.DUMMYFUNCTION("""COMPUTED_VALUE"""),1100000)</f>
        <v>1100000</v>
      </c>
    </row>
    <row r="58" spans="2:9" x14ac:dyDescent="0.3">
      <c r="B58" s="12" t="str">
        <f ca="1">IFERROR(__xludf.DUMMYFUNCTION("""COMPUTED_VALUE"""),"круг")</f>
        <v>круг</v>
      </c>
      <c r="C58" s="7" t="str">
        <f ca="1">IFERROR(__xludf.DUMMYFUNCTION("""COMPUTED_VALUE"""),"07Х16Н6-Ш ( ЭП288-Ш)")</f>
        <v>07Х16Н6-Ш ( ЭП288-Ш)</v>
      </c>
      <c r="D58" s="13">
        <f ca="1">IFERROR(__xludf.DUMMYFUNCTION("""COMPUTED_VALUE"""),100)</f>
        <v>100</v>
      </c>
      <c r="E58" s="13"/>
      <c r="F58" s="14" t="str">
        <f ca="1">IFERROR(__xludf.DUMMYFUNCTION("""COMPUTED_VALUE"""),"УЗК, обточ АТП ту 14-1-1660 2гп")</f>
        <v>УЗК, обточ АТП ту 14-1-1660 2гп</v>
      </c>
      <c r="G58" s="15">
        <f ca="1">IFERROR(__xludf.DUMMYFUNCTION("""COMPUTED_VALUE"""),1.16)</f>
        <v>1.1599999999999999</v>
      </c>
      <c r="H58" s="15"/>
      <c r="I58" s="16">
        <f ca="1">IFERROR(__xludf.DUMMYFUNCTION("""COMPUTED_VALUE"""),1100000)</f>
        <v>1100000</v>
      </c>
    </row>
    <row r="59" spans="2:9" x14ac:dyDescent="0.3">
      <c r="B59" s="12" t="str">
        <f ca="1">IFERROR(__xludf.DUMMYFUNCTION("""COMPUTED_VALUE"""),"круг")</f>
        <v>круг</v>
      </c>
      <c r="C59" s="7" t="str">
        <f ca="1">IFERROR(__xludf.DUMMYFUNCTION("""COMPUTED_VALUE"""),"07Х16Н6-Ш ( ЭП288-Ш)")</f>
        <v>07Х16Н6-Ш ( ЭП288-Ш)</v>
      </c>
      <c r="D59" s="13">
        <f ca="1">IFERROR(__xludf.DUMMYFUNCTION("""COMPUTED_VALUE"""),110)</f>
        <v>110</v>
      </c>
      <c r="E59" s="13"/>
      <c r="F59" s="14" t="str">
        <f ca="1">IFERROR(__xludf.DUMMYFUNCTION("""COMPUTED_VALUE"""),"УЗК, обточ АТП ту 14-1-1660 2гп")</f>
        <v>УЗК, обточ АТП ту 14-1-1660 2гп</v>
      </c>
      <c r="G59" s="15">
        <f ca="1">IFERROR(__xludf.DUMMYFUNCTION("""COMPUTED_VALUE"""),0.0760000000000009)</f>
        <v>7.60000000000009E-2</v>
      </c>
      <c r="H59" s="15"/>
      <c r="I59" s="16">
        <f ca="1">IFERROR(__xludf.DUMMYFUNCTION("""COMPUTED_VALUE"""),1100000)</f>
        <v>1100000</v>
      </c>
    </row>
    <row r="60" spans="2:9" x14ac:dyDescent="0.3">
      <c r="B60" s="12" t="str">
        <f ca="1">IFERROR(__xludf.DUMMYFUNCTION("""COMPUTED_VALUE"""),"круг")</f>
        <v>круг</v>
      </c>
      <c r="C60" s="7" t="str">
        <f ca="1">IFERROR(__xludf.DUMMYFUNCTION("""COMPUTED_VALUE"""),"07Х16Н6-Ш ( ЭП288-Ш)")</f>
        <v>07Х16Н6-Ш ( ЭП288-Ш)</v>
      </c>
      <c r="D60" s="13">
        <f ca="1">IFERROR(__xludf.DUMMYFUNCTION("""COMPUTED_VALUE"""),110)</f>
        <v>110</v>
      </c>
      <c r="E60" s="13"/>
      <c r="F60" s="14" t="str">
        <f ca="1">IFERROR(__xludf.DUMMYFUNCTION("""COMPUTED_VALUE"""),"УЗК, обточ АТП ту 14-1-1660 2гп")</f>
        <v>УЗК, обточ АТП ту 14-1-1660 2гп</v>
      </c>
      <c r="G60" s="15">
        <f ca="1">IFERROR(__xludf.DUMMYFUNCTION("""COMPUTED_VALUE"""),0.106)</f>
        <v>0.106</v>
      </c>
      <c r="H60" s="15"/>
      <c r="I60" s="16">
        <f ca="1">IFERROR(__xludf.DUMMYFUNCTION("""COMPUTED_VALUE"""),1100000)</f>
        <v>1100000</v>
      </c>
    </row>
    <row r="61" spans="2:9" x14ac:dyDescent="0.3">
      <c r="B61" s="12" t="str">
        <f ca="1">IFERROR(__xludf.DUMMYFUNCTION("""COMPUTED_VALUE"""),"круг")</f>
        <v>круг</v>
      </c>
      <c r="C61" s="7" t="str">
        <f ca="1">IFERROR(__xludf.DUMMYFUNCTION("""COMPUTED_VALUE"""),"07Х16Н6-Ш ( ЭП288-Ш)")</f>
        <v>07Х16Н6-Ш ( ЭП288-Ш)</v>
      </c>
      <c r="D61" s="13">
        <f ca="1">IFERROR(__xludf.DUMMYFUNCTION("""COMPUTED_VALUE"""),110)</f>
        <v>110</v>
      </c>
      <c r="E61" s="13"/>
      <c r="F61" s="14" t="str">
        <f ca="1">IFERROR(__xludf.DUMMYFUNCTION("""COMPUTED_VALUE"""),"УЗК, обточ АТП ту 14-1-1660 2гп")</f>
        <v>УЗК, обточ АТП ту 14-1-1660 2гп</v>
      </c>
      <c r="G61" s="15">
        <f ca="1">IFERROR(__xludf.DUMMYFUNCTION("""COMPUTED_VALUE"""),0.34)</f>
        <v>0.34</v>
      </c>
      <c r="H61" s="15"/>
      <c r="I61" s="16">
        <f ca="1">IFERROR(__xludf.DUMMYFUNCTION("""COMPUTED_VALUE"""),980000)</f>
        <v>980000</v>
      </c>
    </row>
    <row r="62" spans="2:9" x14ac:dyDescent="0.3">
      <c r="B62" s="12" t="str">
        <f ca="1">IFERROR(__xludf.DUMMYFUNCTION("""COMPUTED_VALUE"""),"круг")</f>
        <v>круг</v>
      </c>
      <c r="C62" s="7" t="str">
        <f ca="1">IFERROR(__xludf.DUMMYFUNCTION("""COMPUTED_VALUE"""),"07Х16Н6-Ш ( ЭП288-Ш)")</f>
        <v>07Х16Н6-Ш ( ЭП288-Ш)</v>
      </c>
      <c r="D62" s="13">
        <f ca="1">IFERROR(__xludf.DUMMYFUNCTION("""COMPUTED_VALUE"""),110)</f>
        <v>110</v>
      </c>
      <c r="E62" s="13"/>
      <c r="F62" s="14" t="str">
        <f ca="1">IFERROR(__xludf.DUMMYFUNCTION("""COMPUTED_VALUE"""),"УЗК, обточ АТП ту 14-1-1660 2гп")</f>
        <v>УЗК, обточ АТП ту 14-1-1660 2гп</v>
      </c>
      <c r="G62" s="15">
        <f ca="1">IFERROR(__xludf.DUMMYFUNCTION("""COMPUTED_VALUE"""),2.16)</f>
        <v>2.16</v>
      </c>
      <c r="H62" s="15"/>
      <c r="I62" s="16">
        <f ca="1">IFERROR(__xludf.DUMMYFUNCTION("""COMPUTED_VALUE"""),980000)</f>
        <v>980000</v>
      </c>
    </row>
    <row r="63" spans="2:9" x14ac:dyDescent="0.3">
      <c r="B63" s="12" t="str">
        <f ca="1">IFERROR(__xludf.DUMMYFUNCTION("""COMPUTED_VALUE"""),"круг")</f>
        <v>круг</v>
      </c>
      <c r="C63" s="7" t="str">
        <f ca="1">IFERROR(__xludf.DUMMYFUNCTION("""COMPUTED_VALUE"""),"07Х16Н6-Ш ( ЭП288-Ш)")</f>
        <v>07Х16Н6-Ш ( ЭП288-Ш)</v>
      </c>
      <c r="D63" s="13">
        <f ca="1">IFERROR(__xludf.DUMMYFUNCTION("""COMPUTED_VALUE"""),120)</f>
        <v>120</v>
      </c>
      <c r="E63" s="13"/>
      <c r="F63" s="14" t="str">
        <f ca="1">IFERROR(__xludf.DUMMYFUNCTION("""COMPUTED_VALUE"""),"УЗК, обточ АТП ту 14-1-1660 2гп")</f>
        <v>УЗК, обточ АТП ту 14-1-1660 2гп</v>
      </c>
      <c r="G63" s="15">
        <f ca="1">IFERROR(__xludf.DUMMYFUNCTION("""COMPUTED_VALUE"""),0.155)</f>
        <v>0.155</v>
      </c>
      <c r="H63" s="15"/>
      <c r="I63" s="16">
        <f ca="1">IFERROR(__xludf.DUMMYFUNCTION("""COMPUTED_VALUE"""),1100000)</f>
        <v>1100000</v>
      </c>
    </row>
    <row r="64" spans="2:9" x14ac:dyDescent="0.3">
      <c r="B64" s="12" t="str">
        <f ca="1">IFERROR(__xludf.DUMMYFUNCTION("""COMPUTED_VALUE"""),"круг")</f>
        <v>круг</v>
      </c>
      <c r="C64" s="7" t="str">
        <f ca="1">IFERROR(__xludf.DUMMYFUNCTION("""COMPUTED_VALUE"""),"07Х16Н6-Ш ( ЭП288-Ш)")</f>
        <v>07Х16Н6-Ш ( ЭП288-Ш)</v>
      </c>
      <c r="D64" s="13">
        <f ca="1">IFERROR(__xludf.DUMMYFUNCTION("""COMPUTED_VALUE"""),120)</f>
        <v>120</v>
      </c>
      <c r="E64" s="13"/>
      <c r="F64" s="14" t="str">
        <f ca="1">IFERROR(__xludf.DUMMYFUNCTION("""COMPUTED_VALUE"""),"УЗК, обточ АТП ту 14-1-1660 2гп")</f>
        <v>УЗК, обточ АТП ту 14-1-1660 2гп</v>
      </c>
      <c r="G64" s="15">
        <f ca="1">IFERROR(__xludf.DUMMYFUNCTION("""COMPUTED_VALUE"""),2.638)</f>
        <v>2.6379999999999999</v>
      </c>
      <c r="H64" s="15"/>
      <c r="I64" s="16">
        <f ca="1">IFERROR(__xludf.DUMMYFUNCTION("""COMPUTED_VALUE"""),1100000)</f>
        <v>1100000</v>
      </c>
    </row>
    <row r="65" spans="2:9" x14ac:dyDescent="0.3">
      <c r="B65" s="12" t="str">
        <f ca="1">IFERROR(__xludf.DUMMYFUNCTION("""COMPUTED_VALUE"""),"круг")</f>
        <v>круг</v>
      </c>
      <c r="C65" s="7" t="str">
        <f ca="1">IFERROR(__xludf.DUMMYFUNCTION("""COMPUTED_VALUE"""),"07Х16Н6-Ш ( ЭП288-Ш)")</f>
        <v>07Х16Н6-Ш ( ЭП288-Ш)</v>
      </c>
      <c r="D65" s="13">
        <f ca="1">IFERROR(__xludf.DUMMYFUNCTION("""COMPUTED_VALUE"""),130)</f>
        <v>130</v>
      </c>
      <c r="E65" s="13"/>
      <c r="F65" s="14" t="str">
        <f ca="1">IFERROR(__xludf.DUMMYFUNCTION("""COMPUTED_VALUE"""),"УЗК, обточ АТП ту 14-1-1660 2гп")</f>
        <v>УЗК, обточ АТП ту 14-1-1660 2гп</v>
      </c>
      <c r="G65" s="15">
        <f ca="1">IFERROR(__xludf.DUMMYFUNCTION("""COMPUTED_VALUE"""),0.349)</f>
        <v>0.34899999999999998</v>
      </c>
      <c r="H65" s="15"/>
      <c r="I65" s="16">
        <f ca="1">IFERROR(__xludf.DUMMYFUNCTION("""COMPUTED_VALUE"""),1100000)</f>
        <v>1100000</v>
      </c>
    </row>
    <row r="66" spans="2:9" x14ac:dyDescent="0.3">
      <c r="B66" s="12" t="str">
        <f ca="1">IFERROR(__xludf.DUMMYFUNCTION("""COMPUTED_VALUE"""),"круг")</f>
        <v>круг</v>
      </c>
      <c r="C66" s="7" t="str">
        <f ca="1">IFERROR(__xludf.DUMMYFUNCTION("""COMPUTED_VALUE"""),"07Х16Н6-Ш ( ЭП288-Ш)")</f>
        <v>07Х16Н6-Ш ( ЭП288-Ш)</v>
      </c>
      <c r="D66" s="13">
        <f ca="1">IFERROR(__xludf.DUMMYFUNCTION("""COMPUTED_VALUE"""),130)</f>
        <v>130</v>
      </c>
      <c r="E66" s="13"/>
      <c r="F66" s="14" t="str">
        <f ca="1">IFERROR(__xludf.DUMMYFUNCTION("""COMPUTED_VALUE"""),"УЗК, обточ АТП ту 14-1-1660 2гп")</f>
        <v>УЗК, обточ АТП ту 14-1-1660 2гп</v>
      </c>
      <c r="G66" s="15">
        <f ca="1">IFERROR(__xludf.DUMMYFUNCTION("""COMPUTED_VALUE"""),2.085)</f>
        <v>2.085</v>
      </c>
      <c r="H66" s="15"/>
      <c r="I66" s="16">
        <f ca="1">IFERROR(__xludf.DUMMYFUNCTION("""COMPUTED_VALUE"""),1100000)</f>
        <v>1100000</v>
      </c>
    </row>
    <row r="67" spans="2:9" x14ac:dyDescent="0.3">
      <c r="B67" s="12" t="str">
        <f ca="1">IFERROR(__xludf.DUMMYFUNCTION("""COMPUTED_VALUE"""),"круг")</f>
        <v>круг</v>
      </c>
      <c r="C67" s="7" t="str">
        <f ca="1">IFERROR(__xludf.DUMMYFUNCTION("""COMPUTED_VALUE"""),"07Х16Н6-Ш ( ЭП288-Ш)")</f>
        <v>07Х16Н6-Ш ( ЭП288-Ш)</v>
      </c>
      <c r="D67" s="13">
        <f ca="1">IFERROR(__xludf.DUMMYFUNCTION("""COMPUTED_VALUE"""),130)</f>
        <v>130</v>
      </c>
      <c r="E67" s="13"/>
      <c r="F67" s="14" t="str">
        <f ca="1">IFERROR(__xludf.DUMMYFUNCTION("""COMPUTED_VALUE"""),"УЗК, обточ АТП ту 14-1-1660 2гп")</f>
        <v>УЗК, обточ АТП ту 14-1-1660 2гп</v>
      </c>
      <c r="G67" s="15">
        <f ca="1">IFERROR(__xludf.DUMMYFUNCTION("""COMPUTED_VALUE"""),2.175)</f>
        <v>2.1749999999999998</v>
      </c>
      <c r="H67" s="15"/>
      <c r="I67" s="16">
        <f ca="1">IFERROR(__xludf.DUMMYFUNCTION("""COMPUTED_VALUE"""),1100000)</f>
        <v>1100000</v>
      </c>
    </row>
    <row r="68" spans="2:9" x14ac:dyDescent="0.3">
      <c r="B68" s="12" t="str">
        <f ca="1">IFERROR(__xludf.DUMMYFUNCTION("""COMPUTED_VALUE"""),"круг")</f>
        <v>круг</v>
      </c>
      <c r="C68" s="7" t="str">
        <f ca="1">IFERROR(__xludf.DUMMYFUNCTION("""COMPUTED_VALUE"""),"07Х16Н6-Ш ( ЭП288-Ш)")</f>
        <v>07Х16Н6-Ш ( ЭП288-Ш)</v>
      </c>
      <c r="D68" s="13">
        <f ca="1">IFERROR(__xludf.DUMMYFUNCTION("""COMPUTED_VALUE"""),135)</f>
        <v>135</v>
      </c>
      <c r="E68" s="13"/>
      <c r="F68" s="14" t="str">
        <f ca="1">IFERROR(__xludf.DUMMYFUNCTION("""COMPUTED_VALUE"""),"УЗК, обточ АТП ту 14-1-1660 2гп")</f>
        <v>УЗК, обточ АТП ту 14-1-1660 2гп</v>
      </c>
      <c r="G68" s="15">
        <f ca="1">IFERROR(__xludf.DUMMYFUNCTION("""COMPUTED_VALUE"""),0.565)</f>
        <v>0.56499999999999995</v>
      </c>
      <c r="H68" s="15"/>
      <c r="I68" s="16">
        <f ca="1">IFERROR(__xludf.DUMMYFUNCTION("""COMPUTED_VALUE"""),1000000)</f>
        <v>1000000</v>
      </c>
    </row>
    <row r="69" spans="2:9" x14ac:dyDescent="0.3">
      <c r="B69" s="12" t="str">
        <f ca="1">IFERROR(__xludf.DUMMYFUNCTION("""COMPUTED_VALUE"""),"круг")</f>
        <v>круг</v>
      </c>
      <c r="C69" s="7" t="str">
        <f ca="1">IFERROR(__xludf.DUMMYFUNCTION("""COMPUTED_VALUE"""),"07Х16Н6-Ш ( ЭП288-Ш)")</f>
        <v>07Х16Н6-Ш ( ЭП288-Ш)</v>
      </c>
      <c r="D69" s="13">
        <f ca="1">IFERROR(__xludf.DUMMYFUNCTION("""COMPUTED_VALUE"""),140)</f>
        <v>140</v>
      </c>
      <c r="E69" s="13"/>
      <c r="F69" s="14" t="str">
        <f ca="1">IFERROR(__xludf.DUMMYFUNCTION("""COMPUTED_VALUE"""),"УЗК, обточ АТП ту 14-1-1660 2гп")</f>
        <v>УЗК, обточ АТП ту 14-1-1660 2гп</v>
      </c>
      <c r="G69" s="15">
        <f ca="1">IFERROR(__xludf.DUMMYFUNCTION("""COMPUTED_VALUE"""),1.436)</f>
        <v>1.4359999999999999</v>
      </c>
      <c r="H69" s="15"/>
      <c r="I69" s="16">
        <f ca="1">IFERROR(__xludf.DUMMYFUNCTION("""COMPUTED_VALUE"""),1100000)</f>
        <v>1100000</v>
      </c>
    </row>
    <row r="70" spans="2:9" x14ac:dyDescent="0.3">
      <c r="B70" s="12" t="str">
        <f ca="1">IFERROR(__xludf.DUMMYFUNCTION("""COMPUTED_VALUE"""),"круг")</f>
        <v>круг</v>
      </c>
      <c r="C70" s="7" t="str">
        <f ca="1">IFERROR(__xludf.DUMMYFUNCTION("""COMPUTED_VALUE"""),"07Х16Н6-Ш ( ЭП288-Ш)")</f>
        <v>07Х16Н6-Ш ( ЭП288-Ш)</v>
      </c>
      <c r="D70" s="13">
        <f ca="1">IFERROR(__xludf.DUMMYFUNCTION("""COMPUTED_VALUE"""),140)</f>
        <v>140</v>
      </c>
      <c r="E70" s="13"/>
      <c r="F70" s="14" t="str">
        <f ca="1">IFERROR(__xludf.DUMMYFUNCTION("""COMPUTED_VALUE"""),"УЗК, обточ АТП ту 14-1-1660 ")</f>
        <v xml:space="preserve">УЗК, обточ АТП ту 14-1-1660 </v>
      </c>
      <c r="G70" s="15">
        <f ca="1">IFERROR(__xludf.DUMMYFUNCTION("""COMPUTED_VALUE"""),3.37)</f>
        <v>3.37</v>
      </c>
      <c r="H70" s="15"/>
      <c r="I70" s="16">
        <f ca="1">IFERROR(__xludf.DUMMYFUNCTION("""COMPUTED_VALUE"""),1100000)</f>
        <v>1100000</v>
      </c>
    </row>
    <row r="71" spans="2:9" x14ac:dyDescent="0.3">
      <c r="B71" s="12" t="str">
        <f ca="1">IFERROR(__xludf.DUMMYFUNCTION("""COMPUTED_VALUE"""),"круг")</f>
        <v>круг</v>
      </c>
      <c r="C71" s="7" t="str">
        <f ca="1">IFERROR(__xludf.DUMMYFUNCTION("""COMPUTED_VALUE"""),"07Х16Н6-Ш ( ЭП288-Ш)")</f>
        <v>07Х16Н6-Ш ( ЭП288-Ш)</v>
      </c>
      <c r="D71" s="13">
        <f ca="1">IFERROR(__xludf.DUMMYFUNCTION("""COMPUTED_VALUE"""),150)</f>
        <v>150</v>
      </c>
      <c r="E71" s="13"/>
      <c r="F71" s="14" t="str">
        <f ca="1">IFERROR(__xludf.DUMMYFUNCTION("""COMPUTED_VALUE"""),"УЗК, обточ АТП ту 14-1-1660 2гп")</f>
        <v>УЗК, обточ АТП ту 14-1-1660 2гп</v>
      </c>
      <c r="G71" s="15">
        <f ca="1">IFERROR(__xludf.DUMMYFUNCTION("""COMPUTED_VALUE"""),3.06799999999999)</f>
        <v>3.0679999999999898</v>
      </c>
      <c r="H71" s="15"/>
      <c r="I71" s="16">
        <f ca="1">IFERROR(__xludf.DUMMYFUNCTION("""COMPUTED_VALUE"""),1100000)</f>
        <v>1100000</v>
      </c>
    </row>
    <row r="72" spans="2:9" x14ac:dyDescent="0.3">
      <c r="B72" s="12" t="str">
        <f ca="1">IFERROR(__xludf.DUMMYFUNCTION("""COMPUTED_VALUE"""),"круг")</f>
        <v>круг</v>
      </c>
      <c r="C72" s="7" t="str">
        <f ca="1">IFERROR(__xludf.DUMMYFUNCTION("""COMPUTED_VALUE"""),"07Х16Н6-Ш ( ЭП288-Ш)")</f>
        <v>07Х16Н6-Ш ( ЭП288-Ш)</v>
      </c>
      <c r="D72" s="13">
        <f ca="1">IFERROR(__xludf.DUMMYFUNCTION("""COMPUTED_VALUE"""),160)</f>
        <v>160</v>
      </c>
      <c r="E72" s="13"/>
      <c r="F72" s="14" t="str">
        <f ca="1">IFERROR(__xludf.DUMMYFUNCTION("""COMPUTED_VALUE"""),"УЗК, обточ АТП ту 14-1-1660 2гп")</f>
        <v>УЗК, обточ АТП ту 14-1-1660 2гп</v>
      </c>
      <c r="G72" s="15">
        <f ca="1">IFERROR(__xludf.DUMMYFUNCTION("""COMPUTED_VALUE"""),0.159)</f>
        <v>0.159</v>
      </c>
      <c r="H72" s="15"/>
      <c r="I72" s="16">
        <f ca="1">IFERROR(__xludf.DUMMYFUNCTION("""COMPUTED_VALUE"""),1100000)</f>
        <v>1100000</v>
      </c>
    </row>
    <row r="73" spans="2:9" x14ac:dyDescent="0.3">
      <c r="B73" s="12" t="str">
        <f ca="1">IFERROR(__xludf.DUMMYFUNCTION("""COMPUTED_VALUE"""),"круг")</f>
        <v>круг</v>
      </c>
      <c r="C73" s="7" t="str">
        <f ca="1">IFERROR(__xludf.DUMMYFUNCTION("""COMPUTED_VALUE"""),"07Х16Н6-Ш ( ЭП288-Ш)")</f>
        <v>07Х16Н6-Ш ( ЭП288-Ш)</v>
      </c>
      <c r="D73" s="13">
        <f ca="1">IFERROR(__xludf.DUMMYFUNCTION("""COMPUTED_VALUE"""),160)</f>
        <v>160</v>
      </c>
      <c r="E73" s="13"/>
      <c r="F73" s="14" t="str">
        <f ca="1">IFERROR(__xludf.DUMMYFUNCTION("""COMPUTED_VALUE"""),"УЗК, обточ АТП ту 14-1-1660 2гп")</f>
        <v>УЗК, обточ АТП ту 14-1-1660 2гп</v>
      </c>
      <c r="G73" s="15">
        <f ca="1">IFERROR(__xludf.DUMMYFUNCTION("""COMPUTED_VALUE"""),0.794)</f>
        <v>0.79400000000000004</v>
      </c>
      <c r="H73" s="15"/>
      <c r="I73" s="16">
        <f ca="1">IFERROR(__xludf.DUMMYFUNCTION("""COMPUTED_VALUE"""),1100000)</f>
        <v>1100000</v>
      </c>
    </row>
    <row r="74" spans="2:9" x14ac:dyDescent="0.3">
      <c r="B74" s="12" t="str">
        <f ca="1">IFERROR(__xludf.DUMMYFUNCTION("""COMPUTED_VALUE"""),"круг")</f>
        <v>круг</v>
      </c>
      <c r="C74" s="7" t="str">
        <f ca="1">IFERROR(__xludf.DUMMYFUNCTION("""COMPUTED_VALUE"""),"07Х16Н6-Ш ( ЭП288-Ш)")</f>
        <v>07Х16Н6-Ш ( ЭП288-Ш)</v>
      </c>
      <c r="D74" s="13">
        <f ca="1">IFERROR(__xludf.DUMMYFUNCTION("""COMPUTED_VALUE"""),180)</f>
        <v>180</v>
      </c>
      <c r="E74" s="13"/>
      <c r="F74" s="14" t="str">
        <f ca="1">IFERROR(__xludf.DUMMYFUNCTION("""COMPUTED_VALUE"""),"УЗК, обточ АТП ту 14-1-1660 ")</f>
        <v xml:space="preserve">УЗК, обточ АТП ту 14-1-1660 </v>
      </c>
      <c r="G74" s="15">
        <f ca="1">IFERROR(__xludf.DUMMYFUNCTION("""COMPUTED_VALUE"""),2.17599999999999)</f>
        <v>2.1759999999999899</v>
      </c>
      <c r="H74" s="15"/>
      <c r="I74" s="16">
        <f ca="1">IFERROR(__xludf.DUMMYFUNCTION("""COMPUTED_VALUE"""),1100000)</f>
        <v>1100000</v>
      </c>
    </row>
    <row r="75" spans="2:9" x14ac:dyDescent="0.3">
      <c r="B75" s="12" t="str">
        <f ca="1">IFERROR(__xludf.DUMMYFUNCTION("""COMPUTED_VALUE"""),"круг")</f>
        <v>круг</v>
      </c>
      <c r="C75" s="7" t="str">
        <f ca="1">IFERROR(__xludf.DUMMYFUNCTION("""COMPUTED_VALUE"""),"07Х16Н6-Ш ( ЭП288-Ш)")</f>
        <v>07Х16Н6-Ш ( ЭП288-Ш)</v>
      </c>
      <c r="D75" s="13">
        <f ca="1">IFERROR(__xludf.DUMMYFUNCTION("""COMPUTED_VALUE"""),200)</f>
        <v>200</v>
      </c>
      <c r="E75" s="13"/>
      <c r="F75" s="14" t="str">
        <f ca="1">IFERROR(__xludf.DUMMYFUNCTION("""COMPUTED_VALUE"""),"УЗК, обточ АТП ту 14-1-1660 ")</f>
        <v xml:space="preserve">УЗК, обточ АТП ту 14-1-1660 </v>
      </c>
      <c r="G75" s="15">
        <f ca="1">IFERROR(__xludf.DUMMYFUNCTION("""COMPUTED_VALUE"""),0.752)</f>
        <v>0.752</v>
      </c>
      <c r="H75" s="15"/>
      <c r="I75" s="16">
        <f ca="1">IFERROR(__xludf.DUMMYFUNCTION("""COMPUTED_VALUE"""),1100000)</f>
        <v>1100000</v>
      </c>
    </row>
    <row r="76" spans="2:9" x14ac:dyDescent="0.3">
      <c r="B76" s="12" t="str">
        <f ca="1">IFERROR(__xludf.DUMMYFUNCTION("""COMPUTED_VALUE"""),"круг")</f>
        <v>круг</v>
      </c>
      <c r="C76" s="7" t="str">
        <f ca="1">IFERROR(__xludf.DUMMYFUNCTION("""COMPUTED_VALUE"""),"07Х16Н6-Ш ( ЭП288-Ш)")</f>
        <v>07Х16Н6-Ш ( ЭП288-Ш)</v>
      </c>
      <c r="D76" s="13">
        <f ca="1">IFERROR(__xludf.DUMMYFUNCTION("""COMPUTED_VALUE"""),200)</f>
        <v>200</v>
      </c>
      <c r="E76" s="13"/>
      <c r="F76" s="14" t="str">
        <f ca="1">IFERROR(__xludf.DUMMYFUNCTION("""COMPUTED_VALUE"""),"УЗК, обточ АТП ту 14-1-1660 ")</f>
        <v xml:space="preserve">УЗК, обточ АТП ту 14-1-1660 </v>
      </c>
      <c r="G76" s="15">
        <f ca="1">IFERROR(__xludf.DUMMYFUNCTION("""COMPUTED_VALUE"""),0.875)</f>
        <v>0.875</v>
      </c>
      <c r="H76" s="15"/>
      <c r="I76" s="16">
        <f ca="1">IFERROR(__xludf.DUMMYFUNCTION("""COMPUTED_VALUE"""),1100000)</f>
        <v>1100000</v>
      </c>
    </row>
    <row r="77" spans="2:9" x14ac:dyDescent="0.3">
      <c r="B77" s="12" t="str">
        <f ca="1">IFERROR(__xludf.DUMMYFUNCTION("""COMPUTED_VALUE"""),"круг")</f>
        <v>круг</v>
      </c>
      <c r="C77" s="7" t="str">
        <f ca="1">IFERROR(__xludf.DUMMYFUNCTION("""COMPUTED_VALUE"""),"07Х16Н6-Ш ( ЭП288-Ш)")</f>
        <v>07Х16Н6-Ш ( ЭП288-Ш)</v>
      </c>
      <c r="D77" s="13">
        <f ca="1">IFERROR(__xludf.DUMMYFUNCTION("""COMPUTED_VALUE"""),220)</f>
        <v>220</v>
      </c>
      <c r="E77" s="13"/>
      <c r="F77" s="14" t="str">
        <f ca="1">IFERROR(__xludf.DUMMYFUNCTION("""COMPUTED_VALUE"""),"ту 14-1-1660, УЗК, АТП,")</f>
        <v>ту 14-1-1660, УЗК, АТП,</v>
      </c>
      <c r="G77" s="15">
        <f ca="1">IFERROR(__xludf.DUMMYFUNCTION("""COMPUTED_VALUE"""),1.845)</f>
        <v>1.845</v>
      </c>
      <c r="H77" s="15"/>
      <c r="I77" s="16">
        <f ca="1">IFERROR(__xludf.DUMMYFUNCTION("""COMPUTED_VALUE"""),1250000)</f>
        <v>1250000</v>
      </c>
    </row>
    <row r="78" spans="2:9" x14ac:dyDescent="0.3">
      <c r="B78" s="12" t="str">
        <f ca="1">IFERROR(__xludf.DUMMYFUNCTION("""COMPUTED_VALUE"""),"круг")</f>
        <v>круг</v>
      </c>
      <c r="C78" s="7" t="str">
        <f ca="1">IFERROR(__xludf.DUMMYFUNCTION("""COMPUTED_VALUE"""),"07Х16Н6-Ш ( ЭП288-Ш)")</f>
        <v>07Х16Н6-Ш ( ЭП288-Ш)</v>
      </c>
      <c r="D78" s="13">
        <f ca="1">IFERROR(__xludf.DUMMYFUNCTION("""COMPUTED_VALUE"""),220)</f>
        <v>220</v>
      </c>
      <c r="E78" s="13"/>
      <c r="F78" s="14" t="str">
        <f ca="1">IFERROR(__xludf.DUMMYFUNCTION("""COMPUTED_VALUE"""),"ту 14-1-1660, УЗК, АТП,")</f>
        <v>ту 14-1-1660, УЗК, АТП,</v>
      </c>
      <c r="G78" s="15">
        <f ca="1">IFERROR(__xludf.DUMMYFUNCTION("""COMPUTED_VALUE"""),1.055)</f>
        <v>1.0549999999999999</v>
      </c>
      <c r="H78" s="15"/>
      <c r="I78" s="16">
        <f ca="1">IFERROR(__xludf.DUMMYFUNCTION("""COMPUTED_VALUE"""),1250000)</f>
        <v>1250000</v>
      </c>
    </row>
    <row r="79" spans="2:9" x14ac:dyDescent="0.3">
      <c r="B79" s="12" t="str">
        <f ca="1">IFERROR(__xludf.DUMMYFUNCTION("""COMPUTED_VALUE"""),"круг")</f>
        <v>круг</v>
      </c>
      <c r="C79" s="7" t="str">
        <f ca="1">IFERROR(__xludf.DUMMYFUNCTION("""COMPUTED_VALUE"""),"07Х16Н6-Ш ( ЭП288-Ш)")</f>
        <v>07Х16Н6-Ш ( ЭП288-Ш)</v>
      </c>
      <c r="D79" s="13">
        <f ca="1">IFERROR(__xludf.DUMMYFUNCTION("""COMPUTED_VALUE"""),250)</f>
        <v>250</v>
      </c>
      <c r="E79" s="13"/>
      <c r="F79" s="14" t="str">
        <f ca="1">IFERROR(__xludf.DUMMYFUNCTION("""COMPUTED_VALUE"""),"УЗК, обточ АТП ту 14-1-1660")</f>
        <v>УЗК, обточ АТП ту 14-1-1660</v>
      </c>
      <c r="G79" s="15">
        <f ca="1">IFERROR(__xludf.DUMMYFUNCTION("""COMPUTED_VALUE"""),1.088)</f>
        <v>1.0880000000000001</v>
      </c>
      <c r="H79" s="15"/>
      <c r="I79" s="16">
        <f ca="1">IFERROR(__xludf.DUMMYFUNCTION("""COMPUTED_VALUE"""),1100000)</f>
        <v>1100000</v>
      </c>
    </row>
    <row r="80" spans="2:9" x14ac:dyDescent="0.3">
      <c r="B80" s="12" t="str">
        <f ca="1">IFERROR(__xludf.DUMMYFUNCTION("""COMPUTED_VALUE"""),"круг")</f>
        <v>круг</v>
      </c>
      <c r="C80" s="7" t="str">
        <f ca="1">IFERROR(__xludf.DUMMYFUNCTION("""COMPUTED_VALUE"""),"07Х16Н6-Ш ( ЭП288-Ш)")</f>
        <v>07Х16Н6-Ш ( ЭП288-Ш)</v>
      </c>
      <c r="D80" s="13">
        <f ca="1">IFERROR(__xludf.DUMMYFUNCTION("""COMPUTED_VALUE"""),280)</f>
        <v>280</v>
      </c>
      <c r="E80" s="13"/>
      <c r="F80" s="14" t="str">
        <f ca="1">IFERROR(__xludf.DUMMYFUNCTION("""COMPUTED_VALUE"""),"ТУ14-1-1660-76,  IVК, УЗК, МКК РТ")</f>
        <v>ТУ14-1-1660-76,  IVК, УЗК, МКК РТ</v>
      </c>
      <c r="G80" s="15">
        <f ca="1">IFERROR(__xludf.DUMMYFUNCTION("""COMPUTED_VALUE"""),1.184)</f>
        <v>1.1839999999999999</v>
      </c>
      <c r="H80" s="15"/>
      <c r="I80" s="16">
        <f ca="1">IFERROR(__xludf.DUMMYFUNCTION("""COMPUTED_VALUE"""),1100000)</f>
        <v>1100000</v>
      </c>
    </row>
    <row r="81" spans="2:9" x14ac:dyDescent="0.3">
      <c r="B81" s="12" t="str">
        <f ca="1">IFERROR(__xludf.DUMMYFUNCTION("""COMPUTED_VALUE"""),"круг")</f>
        <v>круг</v>
      </c>
      <c r="C81" s="7" t="str">
        <f ca="1">IFERROR(__xludf.DUMMYFUNCTION("""COMPUTED_VALUE"""),"07Х16Н6-Ш ( ЭП288-Ш)")</f>
        <v>07Х16Н6-Ш ( ЭП288-Ш)</v>
      </c>
      <c r="D81" s="13">
        <f ca="1">IFERROR(__xludf.DUMMYFUNCTION("""COMPUTED_VALUE"""),280)</f>
        <v>280</v>
      </c>
      <c r="E81" s="13"/>
      <c r="F81" s="14" t="str">
        <f ca="1">IFERROR(__xludf.DUMMYFUNCTION("""COMPUTED_VALUE"""),"ТУ14-1-1660-76,  IVК, УЗК, МКК РТ")</f>
        <v>ТУ14-1-1660-76,  IVК, УЗК, МКК РТ</v>
      </c>
      <c r="G81" s="15">
        <f ca="1">IFERROR(__xludf.DUMMYFUNCTION("""COMPUTED_VALUE"""),1.232)</f>
        <v>1.232</v>
      </c>
      <c r="H81" s="15"/>
      <c r="I81" s="16">
        <f ca="1">IFERROR(__xludf.DUMMYFUNCTION("""COMPUTED_VALUE"""),1100000)</f>
        <v>1100000</v>
      </c>
    </row>
    <row r="82" spans="2:9" x14ac:dyDescent="0.3">
      <c r="B82" s="12" t="str">
        <f ca="1">IFERROR(__xludf.DUMMYFUNCTION("""COMPUTED_VALUE"""),"круг")</f>
        <v>круг</v>
      </c>
      <c r="C82" s="7" t="str">
        <f ca="1">IFERROR(__xludf.DUMMYFUNCTION("""COMPUTED_VALUE"""),"07Х16Н6-Ш ( ЭП288-Ш)")</f>
        <v>07Х16Н6-Ш ( ЭП288-Ш)</v>
      </c>
      <c r="D82" s="13">
        <f ca="1">IFERROR(__xludf.DUMMYFUNCTION("""COMPUTED_VALUE"""),300)</f>
        <v>300</v>
      </c>
      <c r="E82" s="13"/>
      <c r="F82" s="14" t="str">
        <f ca="1">IFERROR(__xludf.DUMMYFUNCTION("""COMPUTED_VALUE"""),"ТУ14-1-16160-76,  IVК, УЗК, МКК РТ")</f>
        <v>ТУ14-1-16160-76,  IVК, УЗК, МКК РТ</v>
      </c>
      <c r="G82" s="15">
        <f ca="1">IFERROR(__xludf.DUMMYFUNCTION("""COMPUTED_VALUE"""),1.138)</f>
        <v>1.1379999999999999</v>
      </c>
      <c r="H82" s="15"/>
      <c r="I82" s="16">
        <f ca="1">IFERROR(__xludf.DUMMYFUNCTION("""COMPUTED_VALUE"""),1100000)</f>
        <v>1100000</v>
      </c>
    </row>
    <row r="83" spans="2:9" x14ac:dyDescent="0.3">
      <c r="B83" s="12" t="str">
        <f ca="1">IFERROR(__xludf.DUMMYFUNCTION("""COMPUTED_VALUE"""),"круг")</f>
        <v>круг</v>
      </c>
      <c r="C83" s="7" t="str">
        <f ca="1">IFERROR(__xludf.DUMMYFUNCTION("""COMPUTED_VALUE"""),"07Х16Н6-Ш ( ЭП288-Ш)")</f>
        <v>07Х16Н6-Ш ( ЭП288-Ш)</v>
      </c>
      <c r="D83" s="13">
        <f ca="1">IFERROR(__xludf.DUMMYFUNCTION("""COMPUTED_VALUE"""),300)</f>
        <v>300</v>
      </c>
      <c r="E83" s="13"/>
      <c r="F83" s="14" t="str">
        <f ca="1">IFERROR(__xludf.DUMMYFUNCTION("""COMPUTED_VALUE"""),"ТУ14-1-16160-76,  IVК, УЗК, МКК РТ")</f>
        <v>ТУ14-1-16160-76,  IVК, УЗК, МКК РТ</v>
      </c>
      <c r="G83" s="15">
        <f ca="1">IFERROR(__xludf.DUMMYFUNCTION("""COMPUTED_VALUE"""),1.317)</f>
        <v>1.3169999999999999</v>
      </c>
      <c r="H83" s="15"/>
      <c r="I83" s="16">
        <f ca="1">IFERROR(__xludf.DUMMYFUNCTION("""COMPUTED_VALUE"""),1100000)</f>
        <v>1100000</v>
      </c>
    </row>
    <row r="84" spans="2:9" x14ac:dyDescent="0.3">
      <c r="B84" s="12" t="str">
        <f ca="1">IFERROR(__xludf.DUMMYFUNCTION("""COMPUTED_VALUE"""),"круг")</f>
        <v>круг</v>
      </c>
      <c r="C84" s="7" t="str">
        <f ca="1">IFERROR(__xludf.DUMMYFUNCTION("""COMPUTED_VALUE"""),"07Х16Н6-Ш ( ЭП288-Ш)")</f>
        <v>07Х16Н6-Ш ( ЭП288-Ш)</v>
      </c>
      <c r="D84" s="13">
        <f ca="1">IFERROR(__xludf.DUMMYFUNCTION("""COMPUTED_VALUE"""),330)</f>
        <v>330</v>
      </c>
      <c r="E84" s="13"/>
      <c r="F84" s="14" t="str">
        <f ca="1">IFERROR(__xludf.DUMMYFUNCTION("""COMPUTED_VALUE"""),"ТУ14-1-1660-76,  IVК, УЗК, МКК РТ")</f>
        <v>ТУ14-1-1660-76,  IVК, УЗК, МКК РТ</v>
      </c>
      <c r="G84" s="15">
        <f ca="1">IFERROR(__xludf.DUMMYFUNCTION("""COMPUTED_VALUE"""),1.03)</f>
        <v>1.03</v>
      </c>
      <c r="H84" s="15"/>
      <c r="I84" s="16">
        <f ca="1">IFERROR(__xludf.DUMMYFUNCTION("""COMPUTED_VALUE"""),1100000)</f>
        <v>1100000</v>
      </c>
    </row>
    <row r="85" spans="2:9" x14ac:dyDescent="0.3">
      <c r="B85" s="12" t="str">
        <f ca="1">IFERROR(__xludf.DUMMYFUNCTION("""COMPUTED_VALUE"""),"круг")</f>
        <v>круг</v>
      </c>
      <c r="C85" s="7" t="str">
        <f ca="1">IFERROR(__xludf.DUMMYFUNCTION("""COMPUTED_VALUE"""),"07Х16Н6-Ш ( ЭП288-Ш)")</f>
        <v>07Х16Н6-Ш ( ЭП288-Ш)</v>
      </c>
      <c r="D85" s="13">
        <f ca="1">IFERROR(__xludf.DUMMYFUNCTION("""COMPUTED_VALUE"""),330)</f>
        <v>330</v>
      </c>
      <c r="E85" s="13"/>
      <c r="F85" s="14" t="str">
        <f ca="1">IFERROR(__xludf.DUMMYFUNCTION("""COMPUTED_VALUE"""),"ТУ14-1-1660-76,  IVК, УЗК, МКК РТ")</f>
        <v>ТУ14-1-1660-76,  IVК, УЗК, МКК РТ</v>
      </c>
      <c r="G85" s="15">
        <f ca="1">IFERROR(__xludf.DUMMYFUNCTION("""COMPUTED_VALUE"""),1.053)</f>
        <v>1.0529999999999999</v>
      </c>
      <c r="H85" s="15"/>
      <c r="I85" s="16">
        <f ca="1">IFERROR(__xludf.DUMMYFUNCTION("""COMPUTED_VALUE"""),1100000)</f>
        <v>1100000</v>
      </c>
    </row>
    <row r="86" spans="2:9" x14ac:dyDescent="0.3">
      <c r="B86" s="12" t="str">
        <f ca="1">IFERROR(__xludf.DUMMYFUNCTION("""COMPUTED_VALUE"""),"круг")</f>
        <v>круг</v>
      </c>
      <c r="C86" s="7" t="str">
        <f ca="1">IFERROR(__xludf.DUMMYFUNCTION("""COMPUTED_VALUE"""),"07Х16Н6-Ш ( ЭП288-Ш)")</f>
        <v>07Х16Н6-Ш ( ЭП288-Ш)</v>
      </c>
      <c r="D86" s="13">
        <f ca="1">IFERROR(__xludf.DUMMYFUNCTION("""COMPUTED_VALUE"""),350)</f>
        <v>350</v>
      </c>
      <c r="E86" s="13"/>
      <c r="F86" s="14" t="str">
        <f ca="1">IFERROR(__xludf.DUMMYFUNCTION("""COMPUTED_VALUE"""),"ту 14-1-1660, УЗК, АТП,")</f>
        <v>ту 14-1-1660, УЗК, АТП,</v>
      </c>
      <c r="G86" s="15">
        <f ca="1">IFERROR(__xludf.DUMMYFUNCTION("""COMPUTED_VALUE"""),2.534)</f>
        <v>2.5339999999999998</v>
      </c>
      <c r="H86" s="15"/>
      <c r="I86" s="16">
        <f ca="1">IFERROR(__xludf.DUMMYFUNCTION("""COMPUTED_VALUE"""),1500000)</f>
        <v>1500000</v>
      </c>
    </row>
    <row r="87" spans="2:9" x14ac:dyDescent="0.3">
      <c r="B87" s="12" t="str">
        <f ca="1">IFERROR(__xludf.DUMMYFUNCTION("""COMPUTED_VALUE"""),"круг")</f>
        <v>круг</v>
      </c>
      <c r="C87" s="7" t="str">
        <f ca="1">IFERROR(__xludf.DUMMYFUNCTION("""COMPUTED_VALUE"""),"07Х16Н6-Ш ( ЭП288-Ш)")</f>
        <v>07Х16Н6-Ш ( ЭП288-Ш)</v>
      </c>
      <c r="D87" s="13">
        <f ca="1">IFERROR(__xludf.DUMMYFUNCTION("""COMPUTED_VALUE"""),380)</f>
        <v>380</v>
      </c>
      <c r="E87" s="13"/>
      <c r="F87" s="14" t="str">
        <f ca="1">IFERROR(__xludf.DUMMYFUNCTION("""COMPUTED_VALUE"""),"ТУ14-1-1660-76,  IVК, УЗК, МКК РТ")</f>
        <v>ТУ14-1-1660-76,  IVК, УЗК, МКК РТ</v>
      </c>
      <c r="G87" s="15">
        <f ca="1">IFERROR(__xludf.DUMMYFUNCTION("""COMPUTED_VALUE"""),0.313)</f>
        <v>0.313</v>
      </c>
      <c r="H87" s="15"/>
      <c r="I87" s="16">
        <f ca="1">IFERROR(__xludf.DUMMYFUNCTION("""COMPUTED_VALUE"""),1100000)</f>
        <v>1100000</v>
      </c>
    </row>
    <row r="88" spans="2:9" x14ac:dyDescent="0.3">
      <c r="B88" s="12" t="str">
        <f ca="1">IFERROR(__xludf.DUMMYFUNCTION("""COMPUTED_VALUE"""),"круг")</f>
        <v>круг</v>
      </c>
      <c r="C88" s="7" t="str">
        <f ca="1">IFERROR(__xludf.DUMMYFUNCTION("""COMPUTED_VALUE"""),"07Х16Н6-Ш ( ЭП288-Ш)")</f>
        <v>07Х16Н6-Ш ( ЭП288-Ш)</v>
      </c>
      <c r="D88" s="13">
        <f ca="1">IFERROR(__xludf.DUMMYFUNCTION("""COMPUTED_VALUE"""),380)</f>
        <v>380</v>
      </c>
      <c r="E88" s="13"/>
      <c r="F88" s="14" t="str">
        <f ca="1">IFERROR(__xludf.DUMMYFUNCTION("""COMPUTED_VALUE"""),"ТУ14-1-1660-76,  IVК, УЗК, МКК РТ")</f>
        <v>ТУ14-1-1660-76,  IVК, УЗК, МКК РТ</v>
      </c>
      <c r="G88" s="15">
        <f ca="1">IFERROR(__xludf.DUMMYFUNCTION("""COMPUTED_VALUE"""),1.032)</f>
        <v>1.032</v>
      </c>
      <c r="H88" s="15"/>
      <c r="I88" s="16">
        <f ca="1">IFERROR(__xludf.DUMMYFUNCTION("""COMPUTED_VALUE"""),1100000)</f>
        <v>1100000</v>
      </c>
    </row>
    <row r="89" spans="2:9" x14ac:dyDescent="0.3">
      <c r="B89" s="12" t="str">
        <f ca="1">IFERROR(__xludf.DUMMYFUNCTION("""COMPUTED_VALUE"""),"круг")</f>
        <v>круг</v>
      </c>
      <c r="C89" s="7" t="str">
        <f ca="1">IFERROR(__xludf.DUMMYFUNCTION("""COMPUTED_VALUE"""),"07Х16Н6-Ш ( ЭП288-Ш)")</f>
        <v>07Х16Н6-Ш ( ЭП288-Ш)</v>
      </c>
      <c r="D89" s="13">
        <f ca="1">IFERROR(__xludf.DUMMYFUNCTION("""COMPUTED_VALUE"""),400)</f>
        <v>400</v>
      </c>
      <c r="E89" s="13"/>
      <c r="F89" s="14" t="str">
        <f ca="1">IFERROR(__xludf.DUMMYFUNCTION("""COMPUTED_VALUE"""),"ТУ14-1-1660-76,  IVК, УЗК, МКК РТ")</f>
        <v>ТУ14-1-1660-76,  IVК, УЗК, МКК РТ</v>
      </c>
      <c r="G89" s="15">
        <f ca="1">IFERROR(__xludf.DUMMYFUNCTION("""COMPUTED_VALUE"""),1.316)</f>
        <v>1.3160000000000001</v>
      </c>
      <c r="H89" s="15"/>
      <c r="I89" s="16">
        <f ca="1">IFERROR(__xludf.DUMMYFUNCTION("""COMPUTED_VALUE"""),1100000)</f>
        <v>1100000</v>
      </c>
    </row>
    <row r="90" spans="2:9" x14ac:dyDescent="0.3">
      <c r="B90" s="12" t="str">
        <f ca="1">IFERROR(__xludf.DUMMYFUNCTION("""COMPUTED_VALUE"""),"круг")</f>
        <v>круг</v>
      </c>
      <c r="C90" s="7" t="str">
        <f ca="1">IFERROR(__xludf.DUMMYFUNCTION("""COMPUTED_VALUE"""),"07Х16Н6-Ш ( ЭП288-Ш)")</f>
        <v>07Х16Н6-Ш ( ЭП288-Ш)</v>
      </c>
      <c r="D90" s="13">
        <f ca="1">IFERROR(__xludf.DUMMYFUNCTION("""COMPUTED_VALUE"""),450)</f>
        <v>450</v>
      </c>
      <c r="E90" s="13"/>
      <c r="F90" s="14" t="str">
        <f ca="1">IFERROR(__xludf.DUMMYFUNCTION("""COMPUTED_VALUE"""),"ТУ14-1-1660-76,  IVК, УЗК, МКК РТ")</f>
        <v>ТУ14-1-1660-76,  IVК, УЗК, МКК РТ</v>
      </c>
      <c r="G90" s="15">
        <f ca="1">IFERROR(__xludf.DUMMYFUNCTION("""COMPUTED_VALUE"""),0.515)</f>
        <v>0.51500000000000001</v>
      </c>
      <c r="H90" s="15"/>
      <c r="I90" s="16">
        <f ca="1">IFERROR(__xludf.DUMMYFUNCTION("""COMPUTED_VALUE"""),1100000)</f>
        <v>1100000</v>
      </c>
    </row>
    <row r="91" spans="2:9" x14ac:dyDescent="0.3">
      <c r="B91" s="12" t="str">
        <f ca="1">IFERROR(__xludf.DUMMYFUNCTION("""COMPUTED_VALUE"""),"круг")</f>
        <v>круг</v>
      </c>
      <c r="C91" s="7" t="str">
        <f ca="1">IFERROR(__xludf.DUMMYFUNCTION("""COMPUTED_VALUE"""),"07Х16Н6 (ЭП288)")</f>
        <v>07Х16Н6 (ЭП288)</v>
      </c>
      <c r="D91" s="13">
        <f ca="1">IFERROR(__xludf.DUMMYFUNCTION("""COMPUTED_VALUE"""),8)</f>
        <v>8</v>
      </c>
      <c r="E91" s="13"/>
      <c r="F91" s="14" t="str">
        <f ca="1">IFERROR(__xludf.DUMMYFUNCTION("""COMPUTED_VALUE"""),"ту 14-1-205, НД, АТП, УзК")</f>
        <v>ту 14-1-205, НД, АТП, УзК</v>
      </c>
      <c r="G91" s="15">
        <f ca="1">IFERROR(__xludf.DUMMYFUNCTION("""COMPUTED_VALUE"""),0.179)</f>
        <v>0.17899999999999999</v>
      </c>
      <c r="H91" s="15"/>
      <c r="I91" s="16">
        <f ca="1">IFERROR(__xludf.DUMMYFUNCTION("""COMPUTED_VALUE"""),900000)</f>
        <v>900000</v>
      </c>
    </row>
    <row r="92" spans="2:9" x14ac:dyDescent="0.3">
      <c r="B92" s="12" t="str">
        <f ca="1">IFERROR(__xludf.DUMMYFUNCTION("""COMPUTED_VALUE"""),"круг")</f>
        <v>круг</v>
      </c>
      <c r="C92" s="7" t="str">
        <f ca="1">IFERROR(__xludf.DUMMYFUNCTION("""COMPUTED_VALUE"""),"07Х16Н6 (ЭП288)")</f>
        <v>07Х16Н6 (ЭП288)</v>
      </c>
      <c r="D92" s="13">
        <f ca="1">IFERROR(__xludf.DUMMYFUNCTION("""COMPUTED_VALUE"""),9)</f>
        <v>9</v>
      </c>
      <c r="E92" s="13"/>
      <c r="F92" s="14" t="str">
        <f ca="1">IFERROR(__xludf.DUMMYFUNCTION("""COMPUTED_VALUE"""),"ту 14-1-205, НД, АТП, УзК")</f>
        <v>ту 14-1-205, НД, АТП, УзК</v>
      </c>
      <c r="G92" s="15">
        <f ca="1">IFERROR(__xludf.DUMMYFUNCTION("""COMPUTED_VALUE"""),0.191)</f>
        <v>0.191</v>
      </c>
      <c r="H92" s="15"/>
      <c r="I92" s="16">
        <f ca="1">IFERROR(__xludf.DUMMYFUNCTION("""COMPUTED_VALUE"""),900000)</f>
        <v>900000</v>
      </c>
    </row>
    <row r="93" spans="2:9" x14ac:dyDescent="0.3">
      <c r="B93" s="12" t="str">
        <f ca="1">IFERROR(__xludf.DUMMYFUNCTION("""COMPUTED_VALUE"""),"круг")</f>
        <v>круг</v>
      </c>
      <c r="C93" s="7" t="str">
        <f ca="1">IFERROR(__xludf.DUMMYFUNCTION("""COMPUTED_VALUE"""),"07Х16Н6 (ЭП288)")</f>
        <v>07Х16Н6 (ЭП288)</v>
      </c>
      <c r="D93" s="13">
        <f ca="1">IFERROR(__xludf.DUMMYFUNCTION("""COMPUTED_VALUE"""),9)</f>
        <v>9</v>
      </c>
      <c r="E93" s="13"/>
      <c r="F93" s="14" t="str">
        <f ca="1">IFERROR(__xludf.DUMMYFUNCTION("""COMPUTED_VALUE"""),"ту 14-1-205, НД, АТП, УзК")</f>
        <v>ту 14-1-205, НД, АТП, УзК</v>
      </c>
      <c r="G93" s="15">
        <f ca="1">IFERROR(__xludf.DUMMYFUNCTION("""COMPUTED_VALUE"""),0.12)</f>
        <v>0.12</v>
      </c>
      <c r="H93" s="15"/>
      <c r="I93" s="16">
        <f ca="1">IFERROR(__xludf.DUMMYFUNCTION("""COMPUTED_VALUE"""),900000)</f>
        <v>900000</v>
      </c>
    </row>
    <row r="94" spans="2:9" x14ac:dyDescent="0.3">
      <c r="B94" s="12" t="str">
        <f ca="1">IFERROR(__xludf.DUMMYFUNCTION("""COMPUTED_VALUE"""),"круг")</f>
        <v>круг</v>
      </c>
      <c r="C94" s="7" t="str">
        <f ca="1">IFERROR(__xludf.DUMMYFUNCTION("""COMPUTED_VALUE"""),"07Х16Н6 (ЭП288)")</f>
        <v>07Х16Н6 (ЭП288)</v>
      </c>
      <c r="D94" s="13">
        <f ca="1">IFERROR(__xludf.DUMMYFUNCTION("""COMPUTED_VALUE"""),10)</f>
        <v>10</v>
      </c>
      <c r="E94" s="13"/>
      <c r="F94" s="14" t="str">
        <f ca="1">IFERROR(__xludf.DUMMYFUNCTION("""COMPUTED_VALUE"""),"ту 14-1-205, НД, АТП, УзК")</f>
        <v>ту 14-1-205, НД, АТП, УзК</v>
      </c>
      <c r="G94" s="15">
        <f ca="1">IFERROR(__xludf.DUMMYFUNCTION("""COMPUTED_VALUE"""),0.0439999999999998)</f>
        <v>4.3999999999999803E-2</v>
      </c>
      <c r="H94" s="15"/>
      <c r="I94" s="16">
        <f ca="1">IFERROR(__xludf.DUMMYFUNCTION("""COMPUTED_VALUE"""),810000)</f>
        <v>810000</v>
      </c>
    </row>
    <row r="95" spans="2:9" x14ac:dyDescent="0.3">
      <c r="B95" s="12" t="str">
        <f ca="1">IFERROR(__xludf.DUMMYFUNCTION("""COMPUTED_VALUE"""),"круг")</f>
        <v>круг</v>
      </c>
      <c r="C95" s="7" t="str">
        <f ca="1">IFERROR(__xludf.DUMMYFUNCTION("""COMPUTED_VALUE"""),"07Х16Н6 (ЭП288)")</f>
        <v>07Х16Н6 (ЭП288)</v>
      </c>
      <c r="D95" s="13">
        <f ca="1">IFERROR(__xludf.DUMMYFUNCTION("""COMPUTED_VALUE"""),10)</f>
        <v>10</v>
      </c>
      <c r="E95" s="13"/>
      <c r="F95" s="14" t="str">
        <f ca="1">IFERROR(__xludf.DUMMYFUNCTION("""COMPUTED_VALUE"""),"ту 14-1-205, НД, АТП, УзК")</f>
        <v>ту 14-1-205, НД, АТП, УзК</v>
      </c>
      <c r="G95" s="15">
        <f ca="1">IFERROR(__xludf.DUMMYFUNCTION("""COMPUTED_VALUE"""),0.102)</f>
        <v>0.10199999999999999</v>
      </c>
      <c r="H95" s="15"/>
      <c r="I95" s="16">
        <f ca="1">IFERROR(__xludf.DUMMYFUNCTION("""COMPUTED_VALUE"""),810000)</f>
        <v>810000</v>
      </c>
    </row>
    <row r="96" spans="2:9" x14ac:dyDescent="0.3">
      <c r="B96" s="12" t="str">
        <f ca="1">IFERROR(__xludf.DUMMYFUNCTION("""COMPUTED_VALUE"""),"круг")</f>
        <v>круг</v>
      </c>
      <c r="C96" s="7" t="str">
        <f ca="1">IFERROR(__xludf.DUMMYFUNCTION("""COMPUTED_VALUE"""),"07Х16Н6 (ЭП288)")</f>
        <v>07Х16Н6 (ЭП288)</v>
      </c>
      <c r="D96" s="13">
        <f ca="1">IFERROR(__xludf.DUMMYFUNCTION("""COMPUTED_VALUE"""),10)</f>
        <v>10</v>
      </c>
      <c r="E96" s="13"/>
      <c r="F96" s="14" t="str">
        <f ca="1">IFERROR(__xludf.DUMMYFUNCTION("""COMPUTED_VALUE"""),"ту 14-1-205, НД, АТП, УзК")</f>
        <v>ту 14-1-205, НД, АТП, УзК</v>
      </c>
      <c r="G96" s="15">
        <f ca="1">IFERROR(__xludf.DUMMYFUNCTION("""COMPUTED_VALUE"""),0.304)</f>
        <v>0.30399999999999999</v>
      </c>
      <c r="H96" s="15"/>
      <c r="I96" s="16">
        <f ca="1">IFERROR(__xludf.DUMMYFUNCTION("""COMPUTED_VALUE"""),810000)</f>
        <v>810000</v>
      </c>
    </row>
    <row r="97" spans="2:9" x14ac:dyDescent="0.3">
      <c r="B97" s="12" t="str">
        <f ca="1">IFERROR(__xludf.DUMMYFUNCTION("""COMPUTED_VALUE"""),"круг")</f>
        <v>круг</v>
      </c>
      <c r="C97" s="7" t="str">
        <f ca="1">IFERROR(__xludf.DUMMYFUNCTION("""COMPUTED_VALUE"""),"07Х16Н6 (ЭП288)")</f>
        <v>07Х16Н6 (ЭП288)</v>
      </c>
      <c r="D97" s="13">
        <f ca="1">IFERROR(__xludf.DUMMYFUNCTION("""COMPUTED_VALUE"""),12)</f>
        <v>12</v>
      </c>
      <c r="E97" s="13"/>
      <c r="F97" s="14" t="str">
        <f ca="1">IFERROR(__xludf.DUMMYFUNCTION("""COMPUTED_VALUE"""),"ту 14-1-205, НД, АТП, УзК")</f>
        <v>ту 14-1-205, НД, АТП, УзК</v>
      </c>
      <c r="G97" s="15">
        <f ca="1">IFERROR(__xludf.DUMMYFUNCTION("""COMPUTED_VALUE"""),1)</f>
        <v>1</v>
      </c>
      <c r="H97" s="15"/>
      <c r="I97" s="16">
        <f ca="1">IFERROR(__xludf.DUMMYFUNCTION("""COMPUTED_VALUE"""),750000)</f>
        <v>750000</v>
      </c>
    </row>
    <row r="98" spans="2:9" x14ac:dyDescent="0.3">
      <c r="B98" s="12" t="str">
        <f ca="1">IFERROR(__xludf.DUMMYFUNCTION("""COMPUTED_VALUE"""),"круг")</f>
        <v>круг</v>
      </c>
      <c r="C98" s="7" t="str">
        <f ca="1">IFERROR(__xludf.DUMMYFUNCTION("""COMPUTED_VALUE"""),"07Х16Н6 (ЭП288)")</f>
        <v>07Х16Н6 (ЭП288)</v>
      </c>
      <c r="D98" s="13">
        <f ca="1">IFERROR(__xludf.DUMMYFUNCTION("""COMPUTED_VALUE"""),15)</f>
        <v>15</v>
      </c>
      <c r="E98" s="13"/>
      <c r="F98" s="14" t="str">
        <f ca="1">IFERROR(__xludf.DUMMYFUNCTION("""COMPUTED_VALUE"""),"ту 14-1-205, НД, АТП, УзК")</f>
        <v>ту 14-1-205, НД, АТП, УзК</v>
      </c>
      <c r="G98" s="15">
        <f ca="1">IFERROR(__xludf.DUMMYFUNCTION("""COMPUTED_VALUE"""),0.299)</f>
        <v>0.29899999999999999</v>
      </c>
      <c r="H98" s="15"/>
      <c r="I98" s="16">
        <f ca="1">IFERROR(__xludf.DUMMYFUNCTION("""COMPUTED_VALUE"""),810000)</f>
        <v>810000</v>
      </c>
    </row>
    <row r="99" spans="2:9" x14ac:dyDescent="0.3">
      <c r="B99" s="12" t="str">
        <f ca="1">IFERROR(__xludf.DUMMYFUNCTION("""COMPUTED_VALUE"""),"круг")</f>
        <v>круг</v>
      </c>
      <c r="C99" s="7" t="str">
        <f ca="1">IFERROR(__xludf.DUMMYFUNCTION("""COMPUTED_VALUE"""),"07Х16Н6 (ЭП288)")</f>
        <v>07Х16Н6 (ЭП288)</v>
      </c>
      <c r="D99" s="13">
        <f ca="1">IFERROR(__xludf.DUMMYFUNCTION("""COMPUTED_VALUE"""),15)</f>
        <v>15</v>
      </c>
      <c r="E99" s="13"/>
      <c r="F99" s="14" t="str">
        <f ca="1">IFERROR(__xludf.DUMMYFUNCTION("""COMPUTED_VALUE"""),"ту 14-1-205, НД, АТП, УзК")</f>
        <v>ту 14-1-205, НД, АТП, УзК</v>
      </c>
      <c r="G99" s="15">
        <f ca="1">IFERROR(__xludf.DUMMYFUNCTION("""COMPUTED_VALUE"""),1)</f>
        <v>1</v>
      </c>
      <c r="H99" s="15"/>
      <c r="I99" s="16">
        <f ca="1">IFERROR(__xludf.DUMMYFUNCTION("""COMPUTED_VALUE"""),750000)</f>
        <v>750000</v>
      </c>
    </row>
    <row r="100" spans="2:9" x14ac:dyDescent="0.3">
      <c r="B100" s="12" t="str">
        <f ca="1">IFERROR(__xludf.DUMMYFUNCTION("""COMPUTED_VALUE"""),"круг")</f>
        <v>круг</v>
      </c>
      <c r="C100" s="7" t="str">
        <f ca="1">IFERROR(__xludf.DUMMYFUNCTION("""COMPUTED_VALUE"""),"07Х16Н6 (ЭП288)")</f>
        <v>07Х16Н6 (ЭП288)</v>
      </c>
      <c r="D100" s="13">
        <f ca="1">IFERROR(__xludf.DUMMYFUNCTION("""COMPUTED_VALUE"""),18)</f>
        <v>18</v>
      </c>
      <c r="E100" s="13"/>
      <c r="F100" s="14" t="str">
        <f ca="1">IFERROR(__xludf.DUMMYFUNCTION("""COMPUTED_VALUE"""),"ту 14-1-205, НД, АТП, УзК")</f>
        <v>ту 14-1-205, НД, АТП, УзК</v>
      </c>
      <c r="G100" s="15">
        <f ca="1">IFERROR(__xludf.DUMMYFUNCTION("""COMPUTED_VALUE"""),1.5)</f>
        <v>1.5</v>
      </c>
      <c r="H100" s="15"/>
      <c r="I100" s="16">
        <f ca="1">IFERROR(__xludf.DUMMYFUNCTION("""COMPUTED_VALUE"""),750000)</f>
        <v>750000</v>
      </c>
    </row>
    <row r="101" spans="2:9" x14ac:dyDescent="0.3">
      <c r="B101" s="12" t="str">
        <f ca="1">IFERROR(__xludf.DUMMYFUNCTION("""COMPUTED_VALUE"""),"круг")</f>
        <v>круг</v>
      </c>
      <c r="C101" s="7" t="str">
        <f ca="1">IFERROR(__xludf.DUMMYFUNCTION("""COMPUTED_VALUE"""),"07Х16Н6 (ЭП288)")</f>
        <v>07Х16Н6 (ЭП288)</v>
      </c>
      <c r="D101" s="13">
        <f ca="1">IFERROR(__xludf.DUMMYFUNCTION("""COMPUTED_VALUE"""),25)</f>
        <v>25</v>
      </c>
      <c r="E101" s="13"/>
      <c r="F101" s="14" t="str">
        <f ca="1">IFERROR(__xludf.DUMMYFUNCTION("""COMPUTED_VALUE"""),"ту 14-1-205, НД, АТП, УзК")</f>
        <v>ту 14-1-205, НД, АТП, УзК</v>
      </c>
      <c r="G101" s="15">
        <f ca="1">IFERROR(__xludf.DUMMYFUNCTION("""COMPUTED_VALUE"""),0.3)</f>
        <v>0.3</v>
      </c>
      <c r="H101" s="15"/>
      <c r="I101" s="16">
        <f ca="1">IFERROR(__xludf.DUMMYFUNCTION("""COMPUTED_VALUE"""),750000)</f>
        <v>750000</v>
      </c>
    </row>
    <row r="102" spans="2:9" x14ac:dyDescent="0.3">
      <c r="B102" s="12" t="str">
        <f ca="1">IFERROR(__xludf.DUMMYFUNCTION("""COMPUTED_VALUE"""),"круг")</f>
        <v>круг</v>
      </c>
      <c r="C102" s="7" t="str">
        <f ca="1">IFERROR(__xludf.DUMMYFUNCTION("""COMPUTED_VALUE"""),"07Х16Н6 (ЭП288)")</f>
        <v>07Х16Н6 (ЭП288)</v>
      </c>
      <c r="D102" s="13">
        <f ca="1">IFERROR(__xludf.DUMMYFUNCTION("""COMPUTED_VALUE"""),25)</f>
        <v>25</v>
      </c>
      <c r="E102" s="13"/>
      <c r="F102" s="14" t="str">
        <f ca="1">IFERROR(__xludf.DUMMYFUNCTION("""COMPUTED_VALUE"""),"ту 14-1-205, НД, АТП, УзК")</f>
        <v>ту 14-1-205, НД, АТП, УзК</v>
      </c>
      <c r="G102" s="15">
        <f ca="1">IFERROR(__xludf.DUMMYFUNCTION("""COMPUTED_VALUE"""),0.704)</f>
        <v>0.70399999999999996</v>
      </c>
      <c r="H102" s="15"/>
      <c r="I102" s="16">
        <f ca="1">IFERROR(__xludf.DUMMYFUNCTION("""COMPUTED_VALUE"""),750000)</f>
        <v>750000</v>
      </c>
    </row>
    <row r="103" spans="2:9" x14ac:dyDescent="0.3">
      <c r="B103" s="12" t="str">
        <f ca="1">IFERROR(__xludf.DUMMYFUNCTION("""COMPUTED_VALUE"""),"круг")</f>
        <v>круг</v>
      </c>
      <c r="C103" s="7" t="str">
        <f ca="1">IFERROR(__xludf.DUMMYFUNCTION("""COMPUTED_VALUE"""),"07Х16Н6 (ЭП288)")</f>
        <v>07Х16Н6 (ЭП288)</v>
      </c>
      <c r="D103" s="13">
        <f ca="1">IFERROR(__xludf.DUMMYFUNCTION("""COMPUTED_VALUE"""),25)</f>
        <v>25</v>
      </c>
      <c r="E103" s="13"/>
      <c r="F103" s="14" t="str">
        <f ca="1">IFERROR(__xludf.DUMMYFUNCTION("""COMPUTED_VALUE"""),"ту 14-1-205, НД, АТП, УзК")</f>
        <v>ту 14-1-205, НД, АТП, УзК</v>
      </c>
      <c r="G103" s="15">
        <f ca="1">IFERROR(__xludf.DUMMYFUNCTION("""COMPUTED_VALUE"""),1.258)</f>
        <v>1.258</v>
      </c>
      <c r="H103" s="15"/>
      <c r="I103" s="16">
        <f ca="1">IFERROR(__xludf.DUMMYFUNCTION("""COMPUTED_VALUE"""),750000)</f>
        <v>750000</v>
      </c>
    </row>
    <row r="104" spans="2:9" x14ac:dyDescent="0.3">
      <c r="B104" s="12" t="str">
        <f ca="1">IFERROR(__xludf.DUMMYFUNCTION("""COMPUTED_VALUE"""),"круг")</f>
        <v>круг</v>
      </c>
      <c r="C104" s="7" t="str">
        <f ca="1">IFERROR(__xludf.DUMMYFUNCTION("""COMPUTED_VALUE"""),"07Х16Н6 (ЭП288)")</f>
        <v>07Х16Н6 (ЭП288)</v>
      </c>
      <c r="D104" s="13">
        <f ca="1">IFERROR(__xludf.DUMMYFUNCTION("""COMPUTED_VALUE"""),25)</f>
        <v>25</v>
      </c>
      <c r="E104" s="13"/>
      <c r="F104" s="14" t="str">
        <f ca="1">IFERROR(__xludf.DUMMYFUNCTION("""COMPUTED_VALUE"""),"ту 14-1-205, НД, АТП, УзК")</f>
        <v>ту 14-1-205, НД, АТП, УзК</v>
      </c>
      <c r="G104" s="15">
        <f ca="1">IFERROR(__xludf.DUMMYFUNCTION("""COMPUTED_VALUE"""),0.496)</f>
        <v>0.496</v>
      </c>
      <c r="H104" s="15"/>
      <c r="I104" s="16">
        <f ca="1">IFERROR(__xludf.DUMMYFUNCTION("""COMPUTED_VALUE"""),750000)</f>
        <v>750000</v>
      </c>
    </row>
    <row r="105" spans="2:9" x14ac:dyDescent="0.3">
      <c r="B105" s="12" t="str">
        <f ca="1">IFERROR(__xludf.DUMMYFUNCTION("""COMPUTED_VALUE"""),"круг")</f>
        <v>круг</v>
      </c>
      <c r="C105" s="7" t="str">
        <f ca="1">IFERROR(__xludf.DUMMYFUNCTION("""COMPUTED_VALUE"""),"07Х16Н6 (ЭП288)")</f>
        <v>07Х16Н6 (ЭП288)</v>
      </c>
      <c r="D105" s="13">
        <f ca="1">IFERROR(__xludf.DUMMYFUNCTION("""COMPUTED_VALUE"""),30)</f>
        <v>30</v>
      </c>
      <c r="E105" s="13"/>
      <c r="F105" s="14" t="str">
        <f ca="1">IFERROR(__xludf.DUMMYFUNCTION("""COMPUTED_VALUE"""),"ту 14-1-205, НД, АТП, УзК")</f>
        <v>ту 14-1-205, НД, АТП, УзК</v>
      </c>
      <c r="G105" s="15">
        <f ca="1">IFERROR(__xludf.DUMMYFUNCTION("""COMPUTED_VALUE"""),1.412)</f>
        <v>1.4119999999999999</v>
      </c>
      <c r="H105" s="15"/>
      <c r="I105" s="16">
        <f ca="1">IFERROR(__xludf.DUMMYFUNCTION("""COMPUTED_VALUE"""),750000)</f>
        <v>750000</v>
      </c>
    </row>
    <row r="106" spans="2:9" x14ac:dyDescent="0.3">
      <c r="B106" s="12" t="str">
        <f ca="1">IFERROR(__xludf.DUMMYFUNCTION("""COMPUTED_VALUE"""),"круг")</f>
        <v>круг</v>
      </c>
      <c r="C106" s="7" t="str">
        <f ca="1">IFERROR(__xludf.DUMMYFUNCTION("""COMPUTED_VALUE"""),"07Х16Н6 (ЭП288)")</f>
        <v>07Х16Н6 (ЭП288)</v>
      </c>
      <c r="D106" s="13">
        <f ca="1">IFERROR(__xludf.DUMMYFUNCTION("""COMPUTED_VALUE"""),30)</f>
        <v>30</v>
      </c>
      <c r="E106" s="13"/>
      <c r="F106" s="14" t="str">
        <f ca="1">IFERROR(__xludf.DUMMYFUNCTION("""COMPUTED_VALUE"""),"ту 14-1-205, НД, АТП, УзК")</f>
        <v>ту 14-1-205, НД, АТП, УзК</v>
      </c>
      <c r="G106" s="15">
        <f ca="1">IFERROR(__xludf.DUMMYFUNCTION("""COMPUTED_VALUE"""),0.088)</f>
        <v>8.7999999999999995E-2</v>
      </c>
      <c r="H106" s="15"/>
      <c r="I106" s="16">
        <f ca="1">IFERROR(__xludf.DUMMYFUNCTION("""COMPUTED_VALUE"""),750000)</f>
        <v>750000</v>
      </c>
    </row>
    <row r="107" spans="2:9" x14ac:dyDescent="0.3">
      <c r="B107" s="12" t="str">
        <f ca="1">IFERROR(__xludf.DUMMYFUNCTION("""COMPUTED_VALUE"""),"круг")</f>
        <v>круг</v>
      </c>
      <c r="C107" s="7" t="str">
        <f ca="1">IFERROR(__xludf.DUMMYFUNCTION("""COMPUTED_VALUE"""),"07Х16Н6 (ЭП288)")</f>
        <v>07Х16Н6 (ЭП288)</v>
      </c>
      <c r="D107" s="13">
        <f ca="1">IFERROR(__xludf.DUMMYFUNCTION("""COMPUTED_VALUE"""),32)</f>
        <v>32</v>
      </c>
      <c r="E107" s="13"/>
      <c r="F107" s="14" t="str">
        <f ca="1">IFERROR(__xludf.DUMMYFUNCTION("""COMPUTED_VALUE"""),"ту 14-1-205, НД, АТП, УзК")</f>
        <v>ту 14-1-205, НД, АТП, УзК</v>
      </c>
      <c r="G107" s="15">
        <f ca="1">IFERROR(__xludf.DUMMYFUNCTION("""COMPUTED_VALUE"""),0.902999999999999)</f>
        <v>0.90299999999999903</v>
      </c>
      <c r="H107" s="15"/>
      <c r="I107" s="16">
        <f ca="1">IFERROR(__xludf.DUMMYFUNCTION("""COMPUTED_VALUE"""),760000)</f>
        <v>760000</v>
      </c>
    </row>
    <row r="108" spans="2:9" x14ac:dyDescent="0.3">
      <c r="B108" s="12" t="str">
        <f ca="1">IFERROR(__xludf.DUMMYFUNCTION("""COMPUTED_VALUE"""),"круг")</f>
        <v>круг</v>
      </c>
      <c r="C108" s="7" t="str">
        <f ca="1">IFERROR(__xludf.DUMMYFUNCTION("""COMPUTED_VALUE"""),"07Х16Н6 (ЭП288)")</f>
        <v>07Х16Н6 (ЭП288)</v>
      </c>
      <c r="D108" s="13">
        <f ca="1">IFERROR(__xludf.DUMMYFUNCTION("""COMPUTED_VALUE"""),36)</f>
        <v>36</v>
      </c>
      <c r="E108" s="13"/>
      <c r="F108" s="14" t="str">
        <f ca="1">IFERROR(__xludf.DUMMYFUNCTION("""COMPUTED_VALUE"""),"ту 14-1-205, НД, АТП, УзК")</f>
        <v>ту 14-1-205, НД, АТП, УзК</v>
      </c>
      <c r="G108" s="15">
        <f ca="1">IFERROR(__xludf.DUMMYFUNCTION("""COMPUTED_VALUE"""),0.711)</f>
        <v>0.71099999999999997</v>
      </c>
      <c r="H108" s="15"/>
      <c r="I108" s="16">
        <f ca="1">IFERROR(__xludf.DUMMYFUNCTION("""COMPUTED_VALUE"""),750000)</f>
        <v>750000</v>
      </c>
    </row>
    <row r="109" spans="2:9" x14ac:dyDescent="0.3">
      <c r="B109" s="12" t="str">
        <f ca="1">IFERROR(__xludf.DUMMYFUNCTION("""COMPUTED_VALUE"""),"круг")</f>
        <v>круг</v>
      </c>
      <c r="C109" s="7" t="str">
        <f ca="1">IFERROR(__xludf.DUMMYFUNCTION("""COMPUTED_VALUE"""),"07Х16Н6 (ЭП288)")</f>
        <v>07Х16Н6 (ЭП288)</v>
      </c>
      <c r="D109" s="13">
        <f ca="1">IFERROR(__xludf.DUMMYFUNCTION("""COMPUTED_VALUE"""),36)</f>
        <v>36</v>
      </c>
      <c r="E109" s="13"/>
      <c r="F109" s="14" t="str">
        <f ca="1">IFERROR(__xludf.DUMMYFUNCTION("""COMPUTED_VALUE"""),"ту 14-1-205, НД, АТП, УзК")</f>
        <v>ту 14-1-205, НД, АТП, УзК</v>
      </c>
      <c r="G109" s="15">
        <f ca="1">IFERROR(__xludf.DUMMYFUNCTION("""COMPUTED_VALUE"""),0.242)</f>
        <v>0.24199999999999999</v>
      </c>
      <c r="H109" s="15"/>
      <c r="I109" s="16">
        <f ca="1">IFERROR(__xludf.DUMMYFUNCTION("""COMPUTED_VALUE"""),750000)</f>
        <v>750000</v>
      </c>
    </row>
    <row r="110" spans="2:9" x14ac:dyDescent="0.3">
      <c r="B110" s="12" t="str">
        <f ca="1">IFERROR(__xludf.DUMMYFUNCTION("""COMPUTED_VALUE"""),"круг")</f>
        <v>круг</v>
      </c>
      <c r="C110" s="7" t="str">
        <f ca="1">IFERROR(__xludf.DUMMYFUNCTION("""COMPUTED_VALUE"""),"07Х16Н6 (ЭП288)")</f>
        <v>07Х16Н6 (ЭП288)</v>
      </c>
      <c r="D110" s="13">
        <f ca="1">IFERROR(__xludf.DUMMYFUNCTION("""COMPUTED_VALUE"""),38)</f>
        <v>38</v>
      </c>
      <c r="E110" s="13"/>
      <c r="F110" s="14" t="str">
        <f ca="1">IFERROR(__xludf.DUMMYFUNCTION("""COMPUTED_VALUE"""),"ту 14-1-205, НД, АТП, УзК")</f>
        <v>ту 14-1-205, НД, АТП, УзК</v>
      </c>
      <c r="G110" s="15">
        <f ca="1">IFERROR(__xludf.DUMMYFUNCTION("""COMPUTED_VALUE"""),0.158999999999999)</f>
        <v>0.158999999999999</v>
      </c>
      <c r="H110" s="15"/>
      <c r="I110" s="16">
        <f ca="1">IFERROR(__xludf.DUMMYFUNCTION("""COMPUTED_VALUE"""),760000)</f>
        <v>760000</v>
      </c>
    </row>
    <row r="111" spans="2:9" x14ac:dyDescent="0.3">
      <c r="B111" s="12" t="str">
        <f ca="1">IFERROR(__xludf.DUMMYFUNCTION("""COMPUTED_VALUE"""),"круг")</f>
        <v>круг</v>
      </c>
      <c r="C111" s="7" t="str">
        <f ca="1">IFERROR(__xludf.DUMMYFUNCTION("""COMPUTED_VALUE"""),"07Х16Н6 (ЭП288)")</f>
        <v>07Х16Н6 (ЭП288)</v>
      </c>
      <c r="D111" s="13">
        <f ca="1">IFERROR(__xludf.DUMMYFUNCTION("""COMPUTED_VALUE"""),38)</f>
        <v>38</v>
      </c>
      <c r="E111" s="13"/>
      <c r="F111" s="14" t="str">
        <f ca="1">IFERROR(__xludf.DUMMYFUNCTION("""COMPUTED_VALUE"""),"ту 14-1-205, НД, АТП, УзК")</f>
        <v>ту 14-1-205, НД, АТП, УзК</v>
      </c>
      <c r="G111" s="15">
        <f ca="1">IFERROR(__xludf.DUMMYFUNCTION("""COMPUTED_VALUE"""),0.192)</f>
        <v>0.192</v>
      </c>
      <c r="H111" s="15"/>
      <c r="I111" s="16">
        <f ca="1">IFERROR(__xludf.DUMMYFUNCTION("""COMPUTED_VALUE"""),760000)</f>
        <v>760000</v>
      </c>
    </row>
    <row r="112" spans="2:9" x14ac:dyDescent="0.3">
      <c r="B112" s="12" t="str">
        <f ca="1">IFERROR(__xludf.DUMMYFUNCTION("""COMPUTED_VALUE"""),"круг")</f>
        <v>круг</v>
      </c>
      <c r="C112" s="7" t="str">
        <f ca="1">IFERROR(__xludf.DUMMYFUNCTION("""COMPUTED_VALUE"""),"07Х16Н6 (ЭП288)")</f>
        <v>07Х16Н6 (ЭП288)</v>
      </c>
      <c r="D112" s="13">
        <f ca="1">IFERROR(__xludf.DUMMYFUNCTION("""COMPUTED_VALUE"""),38)</f>
        <v>38</v>
      </c>
      <c r="E112" s="13"/>
      <c r="F112" s="14" t="str">
        <f ca="1">IFERROR(__xludf.DUMMYFUNCTION("""COMPUTED_VALUE"""),"ту 14-1-205, НД, АТП, УзК ")</f>
        <v xml:space="preserve">ту 14-1-205, НД, АТП, УзК </v>
      </c>
      <c r="G112" s="15">
        <f ca="1">IFERROR(__xludf.DUMMYFUNCTION("""COMPUTED_VALUE"""),0.288)</f>
        <v>0.28799999999999998</v>
      </c>
      <c r="H112" s="15"/>
      <c r="I112" s="16">
        <f ca="1">IFERROR(__xludf.DUMMYFUNCTION("""COMPUTED_VALUE"""),760000)</f>
        <v>760000</v>
      </c>
    </row>
    <row r="113" spans="2:9" x14ac:dyDescent="0.3">
      <c r="B113" s="12" t="str">
        <f ca="1">IFERROR(__xludf.DUMMYFUNCTION("""COMPUTED_VALUE"""),"круг")</f>
        <v>круг</v>
      </c>
      <c r="C113" s="7" t="str">
        <f ca="1">IFERROR(__xludf.DUMMYFUNCTION("""COMPUTED_VALUE"""),"07Х16Н6 (ЭП288)")</f>
        <v>07Х16Н6 (ЭП288)</v>
      </c>
      <c r="D113" s="13">
        <f ca="1">IFERROR(__xludf.DUMMYFUNCTION("""COMPUTED_VALUE"""),38)</f>
        <v>38</v>
      </c>
      <c r="E113" s="13"/>
      <c r="F113" s="14" t="str">
        <f ca="1">IFERROR(__xludf.DUMMYFUNCTION("""COMPUTED_VALUE"""),"ту 14-1-205, НД, АТП, УзК  ")</f>
        <v xml:space="preserve">ту 14-1-205, НД, АТП, УзК  </v>
      </c>
      <c r="G113" s="15">
        <f ca="1">IFERROR(__xludf.DUMMYFUNCTION("""COMPUTED_VALUE"""),0.43)</f>
        <v>0.43</v>
      </c>
      <c r="H113" s="15"/>
      <c r="I113" s="16">
        <f ca="1">IFERROR(__xludf.DUMMYFUNCTION("""COMPUTED_VALUE"""),760000)</f>
        <v>760000</v>
      </c>
    </row>
    <row r="114" spans="2:9" x14ac:dyDescent="0.3">
      <c r="B114" s="12" t="str">
        <f ca="1">IFERROR(__xludf.DUMMYFUNCTION("""COMPUTED_VALUE"""),"круг")</f>
        <v>круг</v>
      </c>
      <c r="C114" s="7" t="str">
        <f ca="1">IFERROR(__xludf.DUMMYFUNCTION("""COMPUTED_VALUE"""),"07Х16Н6 (ЭП288)")</f>
        <v>07Х16Н6 (ЭП288)</v>
      </c>
      <c r="D114" s="13">
        <f ca="1">IFERROR(__xludf.DUMMYFUNCTION("""COMPUTED_VALUE"""),38)</f>
        <v>38</v>
      </c>
      <c r="E114" s="13"/>
      <c r="F114" s="14" t="str">
        <f ca="1">IFERROR(__xludf.DUMMYFUNCTION("""COMPUTED_VALUE"""),"ту 14-1-205, НД, АТП, УзК")</f>
        <v>ту 14-1-205, НД, АТП, УзК</v>
      </c>
      <c r="G114" s="15">
        <f ca="1">IFERROR(__xludf.DUMMYFUNCTION("""COMPUTED_VALUE"""),0.08)</f>
        <v>0.08</v>
      </c>
      <c r="H114" s="15"/>
      <c r="I114" s="16">
        <f ca="1">IFERROR(__xludf.DUMMYFUNCTION("""COMPUTED_VALUE"""),760000)</f>
        <v>760000</v>
      </c>
    </row>
    <row r="115" spans="2:9" x14ac:dyDescent="0.3">
      <c r="B115" s="12" t="str">
        <f ca="1">IFERROR(__xludf.DUMMYFUNCTION("""COMPUTED_VALUE"""),"круг")</f>
        <v>круг</v>
      </c>
      <c r="C115" s="7" t="str">
        <f ca="1">IFERROR(__xludf.DUMMYFUNCTION("""COMPUTED_VALUE"""),"07Х16Н6 (ЭП288)")</f>
        <v>07Х16Н6 (ЭП288)</v>
      </c>
      <c r="D115" s="13">
        <f ca="1">IFERROR(__xludf.DUMMYFUNCTION("""COMPUTED_VALUE"""),38)</f>
        <v>38</v>
      </c>
      <c r="E115" s="13"/>
      <c r="F115" s="14" t="str">
        <f ca="1">IFERROR(__xludf.DUMMYFUNCTION("""COMPUTED_VALUE"""),"ту 14-1-205, НД, АТП, УзК")</f>
        <v>ту 14-1-205, НД, АТП, УзК</v>
      </c>
      <c r="G115" s="15">
        <f ca="1">IFERROR(__xludf.DUMMYFUNCTION("""COMPUTED_VALUE"""),0.206)</f>
        <v>0.20599999999999999</v>
      </c>
      <c r="H115" s="15"/>
      <c r="I115" s="16">
        <f ca="1">IFERROR(__xludf.DUMMYFUNCTION("""COMPUTED_VALUE"""),760000)</f>
        <v>760000</v>
      </c>
    </row>
    <row r="116" spans="2:9" x14ac:dyDescent="0.3">
      <c r="B116" s="12" t="str">
        <f ca="1">IFERROR(__xludf.DUMMYFUNCTION("""COMPUTED_VALUE"""),"круг")</f>
        <v>круг</v>
      </c>
      <c r="C116" s="7" t="str">
        <f ca="1">IFERROR(__xludf.DUMMYFUNCTION("""COMPUTED_VALUE"""),"07Х16Н6 (ЭП288)")</f>
        <v>07Х16Н6 (ЭП288)</v>
      </c>
      <c r="D116" s="13">
        <f ca="1">IFERROR(__xludf.DUMMYFUNCTION("""COMPUTED_VALUE"""),40)</f>
        <v>40</v>
      </c>
      <c r="E116" s="13"/>
      <c r="F116" s="14" t="str">
        <f ca="1">IFERROR(__xludf.DUMMYFUNCTION("""COMPUTED_VALUE"""),"ту 14-1-205, НД, АТП, УзК")</f>
        <v>ту 14-1-205, НД, АТП, УзК</v>
      </c>
      <c r="G116" s="15">
        <f ca="1">IFERROR(__xludf.DUMMYFUNCTION("""COMPUTED_VALUE"""),0.375999999999999)</f>
        <v>0.375999999999999</v>
      </c>
      <c r="H116" s="15"/>
      <c r="I116" s="16">
        <f ca="1">IFERROR(__xludf.DUMMYFUNCTION("""COMPUTED_VALUE"""),600000)</f>
        <v>600000</v>
      </c>
    </row>
    <row r="117" spans="2:9" x14ac:dyDescent="0.3">
      <c r="B117" s="12" t="str">
        <f ca="1">IFERROR(__xludf.DUMMYFUNCTION("""COMPUTED_VALUE"""),"круг")</f>
        <v>круг</v>
      </c>
      <c r="C117" s="7" t="str">
        <f ca="1">IFERROR(__xludf.DUMMYFUNCTION("""COMPUTED_VALUE"""),"07Х16Н6 (ЭП288)")</f>
        <v>07Х16Н6 (ЭП288)</v>
      </c>
      <c r="D117" s="13">
        <f ca="1">IFERROR(__xludf.DUMMYFUNCTION("""COMPUTED_VALUE"""),40)</f>
        <v>40</v>
      </c>
      <c r="E117" s="13"/>
      <c r="F117" s="14" t="str">
        <f ca="1">IFERROR(__xludf.DUMMYFUNCTION("""COMPUTED_VALUE"""),"ту 14-1-205, НД, АТП, УзК")</f>
        <v>ту 14-1-205, НД, АТП, УзК</v>
      </c>
      <c r="G117" s="15">
        <f ca="1">IFERROR(__xludf.DUMMYFUNCTION("""COMPUTED_VALUE"""),2.022)</f>
        <v>2.0219999999999998</v>
      </c>
      <c r="H117" s="15"/>
      <c r="I117" s="16">
        <f ca="1">IFERROR(__xludf.DUMMYFUNCTION("""COMPUTED_VALUE"""),760000)</f>
        <v>760000</v>
      </c>
    </row>
    <row r="118" spans="2:9" x14ac:dyDescent="0.3">
      <c r="B118" s="12" t="str">
        <f ca="1">IFERROR(__xludf.DUMMYFUNCTION("""COMPUTED_VALUE"""),"круг")</f>
        <v>круг</v>
      </c>
      <c r="C118" s="7" t="str">
        <f ca="1">IFERROR(__xludf.DUMMYFUNCTION("""COMPUTED_VALUE"""),"07Х16Н6 (ЭП288)")</f>
        <v>07Х16Н6 (ЭП288)</v>
      </c>
      <c r="D118" s="13">
        <f ca="1">IFERROR(__xludf.DUMMYFUNCTION("""COMPUTED_VALUE"""),45)</f>
        <v>45</v>
      </c>
      <c r="E118" s="13"/>
      <c r="F118" s="14" t="str">
        <f ca="1">IFERROR(__xludf.DUMMYFUNCTION("""COMPUTED_VALUE"""),"ту 14-1-205, НД, АТП, УзК")</f>
        <v>ту 14-1-205, НД, АТП, УзК</v>
      </c>
      <c r="G118" s="15">
        <f ca="1">IFERROR(__xludf.DUMMYFUNCTION("""COMPUTED_VALUE"""),0.537)</f>
        <v>0.53700000000000003</v>
      </c>
      <c r="H118" s="15"/>
      <c r="I118" s="16">
        <f ca="1">IFERROR(__xludf.DUMMYFUNCTION("""COMPUTED_VALUE"""),750000)</f>
        <v>750000</v>
      </c>
    </row>
    <row r="119" spans="2:9" x14ac:dyDescent="0.3">
      <c r="B119" s="12" t="str">
        <f ca="1">IFERROR(__xludf.DUMMYFUNCTION("""COMPUTED_VALUE"""),"круг")</f>
        <v>круг</v>
      </c>
      <c r="C119" s="7" t="str">
        <f ca="1">IFERROR(__xludf.DUMMYFUNCTION("""COMPUTED_VALUE"""),"07Х16Н6 (ЭП288)")</f>
        <v>07Х16Н6 (ЭП288)</v>
      </c>
      <c r="D119" s="13">
        <f ca="1">IFERROR(__xludf.DUMMYFUNCTION("""COMPUTED_VALUE"""),50)</f>
        <v>50</v>
      </c>
      <c r="E119" s="13"/>
      <c r="F119" s="14" t="str">
        <f ca="1">IFERROR(__xludf.DUMMYFUNCTION("""COMPUTED_VALUE"""),"ту 14-1-205, НД, АТП, УзК")</f>
        <v>ту 14-1-205, НД, АТП, УзК</v>
      </c>
      <c r="G119" s="15">
        <f ca="1">IFERROR(__xludf.DUMMYFUNCTION("""COMPUTED_VALUE"""),1.048)</f>
        <v>1.048</v>
      </c>
      <c r="H119" s="15"/>
      <c r="I119" s="16">
        <f ca="1">IFERROR(__xludf.DUMMYFUNCTION("""COMPUTED_VALUE"""),750000)</f>
        <v>750000</v>
      </c>
    </row>
    <row r="120" spans="2:9" x14ac:dyDescent="0.3">
      <c r="B120" s="12" t="str">
        <f ca="1">IFERROR(__xludf.DUMMYFUNCTION("""COMPUTED_VALUE"""),"круг")</f>
        <v>круг</v>
      </c>
      <c r="C120" s="7" t="str">
        <f ca="1">IFERROR(__xludf.DUMMYFUNCTION("""COMPUTED_VALUE"""),"07Х16Н6 (ЭП288)")</f>
        <v>07Х16Н6 (ЭП288)</v>
      </c>
      <c r="D120" s="13">
        <f ca="1">IFERROR(__xludf.DUMMYFUNCTION("""COMPUTED_VALUE"""),56)</f>
        <v>56</v>
      </c>
      <c r="E120" s="13"/>
      <c r="F120" s="14" t="str">
        <f ca="1">IFERROR(__xludf.DUMMYFUNCTION("""COMPUTED_VALUE"""),"ту 14-1-205, НД, АТП, УзК")</f>
        <v>ту 14-1-205, НД, АТП, УзК</v>
      </c>
      <c r="G120" s="15">
        <f ca="1">IFERROR(__xludf.DUMMYFUNCTION("""COMPUTED_VALUE"""),1.949)</f>
        <v>1.9490000000000001</v>
      </c>
      <c r="H120" s="15"/>
      <c r="I120" s="16">
        <f ca="1">IFERROR(__xludf.DUMMYFUNCTION("""COMPUTED_VALUE"""),750000)</f>
        <v>750000</v>
      </c>
    </row>
    <row r="121" spans="2:9" x14ac:dyDescent="0.3">
      <c r="B121" s="12" t="str">
        <f ca="1">IFERROR(__xludf.DUMMYFUNCTION("""COMPUTED_VALUE"""),"круг")</f>
        <v>круг</v>
      </c>
      <c r="C121" s="7" t="str">
        <f ca="1">IFERROR(__xludf.DUMMYFUNCTION("""COMPUTED_VALUE"""),"07Х16Н6 (ЭП288)")</f>
        <v>07Х16Н6 (ЭП288)</v>
      </c>
      <c r="D121" s="13">
        <f ca="1">IFERROR(__xludf.DUMMYFUNCTION("""COMPUTED_VALUE"""),60)</f>
        <v>60</v>
      </c>
      <c r="E121" s="13"/>
      <c r="F121" s="14" t="str">
        <f ca="1">IFERROR(__xludf.DUMMYFUNCTION("""COMPUTED_VALUE"""),"ту 14-1-205, НД, АТП, УзК ")</f>
        <v xml:space="preserve">ту 14-1-205, НД, АТП, УзК </v>
      </c>
      <c r="G121" s="15">
        <f ca="1">IFERROR(__xludf.DUMMYFUNCTION("""COMPUTED_VALUE"""),0.481999999999999)</f>
        <v>0.48199999999999898</v>
      </c>
      <c r="H121" s="15"/>
      <c r="I121" s="16">
        <f ca="1">IFERROR(__xludf.DUMMYFUNCTION("""COMPUTED_VALUE"""),750000)</f>
        <v>750000</v>
      </c>
    </row>
    <row r="122" spans="2:9" x14ac:dyDescent="0.3">
      <c r="B122" s="12" t="str">
        <f ca="1">IFERROR(__xludf.DUMMYFUNCTION("""COMPUTED_VALUE"""),"круг")</f>
        <v>круг</v>
      </c>
      <c r="C122" s="7" t="str">
        <f ca="1">IFERROR(__xludf.DUMMYFUNCTION("""COMPUTED_VALUE"""),"07Х16Н6 (ЭП288)")</f>
        <v>07Х16Н6 (ЭП288)</v>
      </c>
      <c r="D122" s="13">
        <f ca="1">IFERROR(__xludf.DUMMYFUNCTION("""COMPUTED_VALUE"""),60)</f>
        <v>60</v>
      </c>
      <c r="E122" s="13"/>
      <c r="F122" s="14" t="str">
        <f ca="1">IFERROR(__xludf.DUMMYFUNCTION("""COMPUTED_VALUE"""),"ту 14-1-205, НД, АТП, УзК, обт")</f>
        <v>ту 14-1-205, НД, АТП, УзК, обт</v>
      </c>
      <c r="G122" s="15">
        <f ca="1">IFERROR(__xludf.DUMMYFUNCTION("""COMPUTED_VALUE"""),0.076)</f>
        <v>7.5999999999999998E-2</v>
      </c>
      <c r="H122" s="15"/>
      <c r="I122" s="16">
        <f ca="1">IFERROR(__xludf.DUMMYFUNCTION("""COMPUTED_VALUE"""),580000)</f>
        <v>580000</v>
      </c>
    </row>
    <row r="123" spans="2:9" x14ac:dyDescent="0.3">
      <c r="B123" s="12" t="str">
        <f ca="1">IFERROR(__xludf.DUMMYFUNCTION("""COMPUTED_VALUE"""),"круг")</f>
        <v>круг</v>
      </c>
      <c r="C123" s="7" t="str">
        <f ca="1">IFERROR(__xludf.DUMMYFUNCTION("""COMPUTED_VALUE"""),"07Х16Н6 (ЭП288)")</f>
        <v>07Х16Н6 (ЭП288)</v>
      </c>
      <c r="D123" s="13">
        <f ca="1">IFERROR(__xludf.DUMMYFUNCTION("""COMPUTED_VALUE"""),60)</f>
        <v>60</v>
      </c>
      <c r="E123" s="13"/>
      <c r="F123" s="14" t="str">
        <f ca="1">IFERROR(__xludf.DUMMYFUNCTION("""COMPUTED_VALUE"""),"ту 14-1-205, НД, АТП, УзК, обт")</f>
        <v>ту 14-1-205, НД, АТП, УзК, обт</v>
      </c>
      <c r="G123" s="15">
        <f ca="1">IFERROR(__xludf.DUMMYFUNCTION("""COMPUTED_VALUE"""),0.088)</f>
        <v>8.7999999999999995E-2</v>
      </c>
      <c r="H123" s="15"/>
      <c r="I123" s="16">
        <f ca="1">IFERROR(__xludf.DUMMYFUNCTION("""COMPUTED_VALUE"""),580000)</f>
        <v>580000</v>
      </c>
    </row>
    <row r="124" spans="2:9" x14ac:dyDescent="0.3">
      <c r="B124" s="12" t="str">
        <f ca="1">IFERROR(__xludf.DUMMYFUNCTION("""COMPUTED_VALUE"""),"круг")</f>
        <v>круг</v>
      </c>
      <c r="C124" s="7" t="str">
        <f ca="1">IFERROR(__xludf.DUMMYFUNCTION("""COMPUTED_VALUE"""),"07Х16Н6 (ЭП288)")</f>
        <v>07Х16Н6 (ЭП288)</v>
      </c>
      <c r="D124" s="13">
        <f ca="1">IFERROR(__xludf.DUMMYFUNCTION("""COMPUTED_VALUE"""),60)</f>
        <v>60</v>
      </c>
      <c r="E124" s="13"/>
      <c r="F124" s="14" t="str">
        <f ca="1">IFERROR(__xludf.DUMMYFUNCTION("""COMPUTED_VALUE"""),"ту 14-1-205, НД, АТП, УзК, обт")</f>
        <v>ту 14-1-205, НД, АТП, УзК, обт</v>
      </c>
      <c r="G124" s="15">
        <f ca="1">IFERROR(__xludf.DUMMYFUNCTION("""COMPUTED_VALUE"""),1.771)</f>
        <v>1.7709999999999999</v>
      </c>
      <c r="H124" s="15"/>
      <c r="I124" s="16">
        <f ca="1">IFERROR(__xludf.DUMMYFUNCTION("""COMPUTED_VALUE"""),580000)</f>
        <v>580000</v>
      </c>
    </row>
    <row r="125" spans="2:9" x14ac:dyDescent="0.3">
      <c r="B125" s="12" t="str">
        <f ca="1">IFERROR(__xludf.DUMMYFUNCTION("""COMPUTED_VALUE"""),"круг")</f>
        <v>круг</v>
      </c>
      <c r="C125" s="7" t="str">
        <f ca="1">IFERROR(__xludf.DUMMYFUNCTION("""COMPUTED_VALUE"""),"07Х16Н6 (ЭП288)")</f>
        <v>07Х16Н6 (ЭП288)</v>
      </c>
      <c r="D125" s="13">
        <f ca="1">IFERROR(__xludf.DUMMYFUNCTION("""COMPUTED_VALUE"""),65)</f>
        <v>65</v>
      </c>
      <c r="E125" s="13"/>
      <c r="F125" s="14" t="str">
        <f ca="1">IFERROR(__xludf.DUMMYFUNCTION("""COMPUTED_VALUE"""),"ту 14-1-205, НД, АТП, УзК ")</f>
        <v xml:space="preserve">ту 14-1-205, НД, АТП, УзК </v>
      </c>
      <c r="G125" s="15">
        <f ca="1">IFERROR(__xludf.DUMMYFUNCTION("""COMPUTED_VALUE"""),1.267)</f>
        <v>1.2669999999999999</v>
      </c>
      <c r="H125" s="15"/>
      <c r="I125" s="16">
        <f ca="1">IFERROR(__xludf.DUMMYFUNCTION("""COMPUTED_VALUE"""),750000)</f>
        <v>750000</v>
      </c>
    </row>
    <row r="126" spans="2:9" x14ac:dyDescent="0.3">
      <c r="B126" s="12" t="str">
        <f ca="1">IFERROR(__xludf.DUMMYFUNCTION("""COMPUTED_VALUE"""),"круг")</f>
        <v>круг</v>
      </c>
      <c r="C126" s="7" t="str">
        <f ca="1">IFERROR(__xludf.DUMMYFUNCTION("""COMPUTED_VALUE"""),"07Х16Н6 (ЭП288)")</f>
        <v>07Х16Н6 (ЭП288)</v>
      </c>
      <c r="D126" s="13">
        <f ca="1">IFERROR(__xludf.DUMMYFUNCTION("""COMPUTED_VALUE"""),65)</f>
        <v>65</v>
      </c>
      <c r="E126" s="13"/>
      <c r="F126" s="14" t="str">
        <f ca="1">IFERROR(__xludf.DUMMYFUNCTION("""COMPUTED_VALUE"""),"ту 14-1-205, НД, АТП, УзК")</f>
        <v>ту 14-1-205, НД, АТП, УзК</v>
      </c>
      <c r="G126" s="15">
        <f ca="1">IFERROR(__xludf.DUMMYFUNCTION("""COMPUTED_VALUE"""),1.348)</f>
        <v>1.3480000000000001</v>
      </c>
      <c r="H126" s="15"/>
      <c r="I126" s="16">
        <f ca="1">IFERROR(__xludf.DUMMYFUNCTION("""COMPUTED_VALUE"""),580000)</f>
        <v>580000</v>
      </c>
    </row>
    <row r="127" spans="2:9" x14ac:dyDescent="0.3">
      <c r="B127" s="12" t="str">
        <f ca="1">IFERROR(__xludf.DUMMYFUNCTION("""COMPUTED_VALUE"""),"круг")</f>
        <v>круг</v>
      </c>
      <c r="C127" s="7" t="str">
        <f ca="1">IFERROR(__xludf.DUMMYFUNCTION("""COMPUTED_VALUE"""),"07Х16Н6 (ЭП288)")</f>
        <v>07Х16Н6 (ЭП288)</v>
      </c>
      <c r="D127" s="13">
        <f ca="1">IFERROR(__xludf.DUMMYFUNCTION("""COMPUTED_VALUE"""),65)</f>
        <v>65</v>
      </c>
      <c r="E127" s="13"/>
      <c r="F127" s="14" t="str">
        <f ca="1">IFERROR(__xludf.DUMMYFUNCTION("""COMPUTED_VALUE"""),"ту 14-1-205, НД, АТП, УзК")</f>
        <v>ту 14-1-205, НД, АТП, УзК</v>
      </c>
      <c r="G127" s="15">
        <f ca="1">IFERROR(__xludf.DUMMYFUNCTION("""COMPUTED_VALUE"""),1.479)</f>
        <v>1.4790000000000001</v>
      </c>
      <c r="H127" s="15"/>
      <c r="I127" s="16">
        <f ca="1">IFERROR(__xludf.DUMMYFUNCTION("""COMPUTED_VALUE"""),580000)</f>
        <v>580000</v>
      </c>
    </row>
    <row r="128" spans="2:9" x14ac:dyDescent="0.3">
      <c r="B128" s="12" t="str">
        <f ca="1">IFERROR(__xludf.DUMMYFUNCTION("""COMPUTED_VALUE"""),"круг")</f>
        <v>круг</v>
      </c>
      <c r="C128" s="7" t="str">
        <f ca="1">IFERROR(__xludf.DUMMYFUNCTION("""COMPUTED_VALUE"""),"07Х16Н6 (ЭП288)")</f>
        <v>07Х16Н6 (ЭП288)</v>
      </c>
      <c r="D128" s="13">
        <f ca="1">IFERROR(__xludf.DUMMYFUNCTION("""COMPUTED_VALUE"""),70)</f>
        <v>70</v>
      </c>
      <c r="E128" s="13"/>
      <c r="F128" s="14" t="str">
        <f ca="1">IFERROR(__xludf.DUMMYFUNCTION("""COMPUTED_VALUE"""),"ту 14-1-205, НД, АТП, УзК")</f>
        <v>ту 14-1-205, НД, АТП, УзК</v>
      </c>
      <c r="G128" s="15">
        <f ca="1">IFERROR(__xludf.DUMMYFUNCTION("""COMPUTED_VALUE"""),0.672999999999999)</f>
        <v>0.67299999999999904</v>
      </c>
      <c r="H128" s="15"/>
      <c r="I128" s="16">
        <f ca="1">IFERROR(__xludf.DUMMYFUNCTION("""COMPUTED_VALUE"""),750000)</f>
        <v>750000</v>
      </c>
    </row>
    <row r="129" spans="2:9" x14ac:dyDescent="0.3">
      <c r="B129" s="12" t="str">
        <f ca="1">IFERROR(__xludf.DUMMYFUNCTION("""COMPUTED_VALUE"""),"круг")</f>
        <v>круг</v>
      </c>
      <c r="C129" s="7" t="str">
        <f ca="1">IFERROR(__xludf.DUMMYFUNCTION("""COMPUTED_VALUE"""),"07Х16Н6 (ЭП288)")</f>
        <v>07Х16Н6 (ЭП288)</v>
      </c>
      <c r="D129" s="13">
        <f ca="1">IFERROR(__xludf.DUMMYFUNCTION("""COMPUTED_VALUE"""),70)</f>
        <v>70</v>
      </c>
      <c r="E129" s="13"/>
      <c r="F129" s="14" t="str">
        <f ca="1">IFERROR(__xludf.DUMMYFUNCTION("""COMPUTED_VALUE"""),"ту 14-1-205, НД, АТП, УзК")</f>
        <v>ту 14-1-205, НД, АТП, УзК</v>
      </c>
      <c r="G129" s="15">
        <f ca="1">IFERROR(__xludf.DUMMYFUNCTION("""COMPUTED_VALUE"""),1.39)</f>
        <v>1.39</v>
      </c>
      <c r="H129" s="15"/>
      <c r="I129" s="16">
        <f ca="1">IFERROR(__xludf.DUMMYFUNCTION("""COMPUTED_VALUE"""),580000)</f>
        <v>580000</v>
      </c>
    </row>
    <row r="130" spans="2:9" x14ac:dyDescent="0.3">
      <c r="B130" s="12" t="str">
        <f ca="1">IFERROR(__xludf.DUMMYFUNCTION("""COMPUTED_VALUE"""),"круг")</f>
        <v>круг</v>
      </c>
      <c r="C130" s="7" t="str">
        <f ca="1">IFERROR(__xludf.DUMMYFUNCTION("""COMPUTED_VALUE"""),"07Х16Н6 (ЭП288)")</f>
        <v>07Х16Н6 (ЭП288)</v>
      </c>
      <c r="D130" s="13">
        <f ca="1">IFERROR(__xludf.DUMMYFUNCTION("""COMPUTED_VALUE"""),70)</f>
        <v>70</v>
      </c>
      <c r="E130" s="13"/>
      <c r="F130" s="14" t="str">
        <f ca="1">IFERROR(__xludf.DUMMYFUNCTION("""COMPUTED_VALUE"""),"ту 14-1-205, НД, АТП, УзК")</f>
        <v>ту 14-1-205, НД, АТП, УзК</v>
      </c>
      <c r="G130" s="15">
        <f ca="1">IFERROR(__xludf.DUMMYFUNCTION("""COMPUTED_VALUE"""),1.408)</f>
        <v>1.4079999999999999</v>
      </c>
      <c r="H130" s="15"/>
      <c r="I130" s="16">
        <f ca="1">IFERROR(__xludf.DUMMYFUNCTION("""COMPUTED_VALUE"""),580000)</f>
        <v>580000</v>
      </c>
    </row>
    <row r="131" spans="2:9" x14ac:dyDescent="0.3">
      <c r="B131" s="12" t="str">
        <f ca="1">IFERROR(__xludf.DUMMYFUNCTION("""COMPUTED_VALUE"""),"круг")</f>
        <v>круг</v>
      </c>
      <c r="C131" s="7" t="str">
        <f ca="1">IFERROR(__xludf.DUMMYFUNCTION("""COMPUTED_VALUE"""),"07Х16Н6 (ЭП288)")</f>
        <v>07Х16Н6 (ЭП288)</v>
      </c>
      <c r="D131" s="13">
        <f ca="1">IFERROR(__xludf.DUMMYFUNCTION("""COMPUTED_VALUE"""),80)</f>
        <v>80</v>
      </c>
      <c r="E131" s="13"/>
      <c r="F131" s="14" t="str">
        <f ca="1">IFERROR(__xludf.DUMMYFUNCTION("""COMPUTED_VALUE"""),"ту 14-1-205, НД, АТП, УзК")</f>
        <v>ту 14-1-205, НД, АТП, УзК</v>
      </c>
      <c r="G131" s="15">
        <f ca="1">IFERROR(__xludf.DUMMYFUNCTION("""COMPUTED_VALUE"""),0.275999999999999)</f>
        <v>0.27599999999999902</v>
      </c>
      <c r="H131" s="15"/>
      <c r="I131" s="16">
        <f ca="1">IFERROR(__xludf.DUMMYFUNCTION("""COMPUTED_VALUE"""),750000)</f>
        <v>750000</v>
      </c>
    </row>
    <row r="132" spans="2:9" x14ac:dyDescent="0.3">
      <c r="B132" s="12" t="str">
        <f ca="1">IFERROR(__xludf.DUMMYFUNCTION("""COMPUTED_VALUE"""),"круг")</f>
        <v>круг</v>
      </c>
      <c r="C132" s="7" t="str">
        <f ca="1">IFERROR(__xludf.DUMMYFUNCTION("""COMPUTED_VALUE"""),"07Х16Н6 (ЭП288)")</f>
        <v>07Х16Н6 (ЭП288)</v>
      </c>
      <c r="D132" s="13">
        <f ca="1">IFERROR(__xludf.DUMMYFUNCTION("""COMPUTED_VALUE"""),80)</f>
        <v>80</v>
      </c>
      <c r="E132" s="13"/>
      <c r="F132" s="14" t="str">
        <f ca="1">IFERROR(__xludf.DUMMYFUNCTION("""COMPUTED_VALUE"""),"ту 14-1-205, НД, АТП, УзК")</f>
        <v>ту 14-1-205, НД, АТП, УзК</v>
      </c>
      <c r="G132" s="15">
        <f ca="1">IFERROR(__xludf.DUMMYFUNCTION("""COMPUTED_VALUE"""),0.181)</f>
        <v>0.18099999999999999</v>
      </c>
      <c r="H132" s="15"/>
      <c r="I132" s="16">
        <f ca="1">IFERROR(__xludf.DUMMYFUNCTION("""COMPUTED_VALUE"""),580000)</f>
        <v>580000</v>
      </c>
    </row>
    <row r="133" spans="2:9" x14ac:dyDescent="0.3">
      <c r="B133" s="12" t="str">
        <f ca="1">IFERROR(__xludf.DUMMYFUNCTION("""COMPUTED_VALUE"""),"круг")</f>
        <v>круг</v>
      </c>
      <c r="C133" s="7" t="str">
        <f ca="1">IFERROR(__xludf.DUMMYFUNCTION("""COMPUTED_VALUE"""),"07Х16Н6 (ЭП288)")</f>
        <v>07Х16Н6 (ЭП288)</v>
      </c>
      <c r="D133" s="13">
        <f ca="1">IFERROR(__xludf.DUMMYFUNCTION("""COMPUTED_VALUE"""),80)</f>
        <v>80</v>
      </c>
      <c r="E133" s="13"/>
      <c r="F133" s="14" t="str">
        <f ca="1">IFERROR(__xludf.DUMMYFUNCTION("""COMPUTED_VALUE"""),"ту 14-1-205, НД, АТП, УзК")</f>
        <v>ту 14-1-205, НД, АТП, УзК</v>
      </c>
      <c r="G133" s="15">
        <f ca="1">IFERROR(__xludf.DUMMYFUNCTION("""COMPUTED_VALUE"""),2.941)</f>
        <v>2.9409999999999998</v>
      </c>
      <c r="H133" s="15"/>
      <c r="I133" s="16">
        <f ca="1">IFERROR(__xludf.DUMMYFUNCTION("""COMPUTED_VALUE"""),580000)</f>
        <v>580000</v>
      </c>
    </row>
    <row r="134" spans="2:9" x14ac:dyDescent="0.3">
      <c r="B134" s="12" t="str">
        <f ca="1">IFERROR(__xludf.DUMMYFUNCTION("""COMPUTED_VALUE"""),"круг")</f>
        <v>круг</v>
      </c>
      <c r="C134" s="7" t="str">
        <f ca="1">IFERROR(__xludf.DUMMYFUNCTION("""COMPUTED_VALUE"""),"07Х16Н6 (ЭП288)")</f>
        <v>07Х16Н6 (ЭП288)</v>
      </c>
      <c r="D134" s="13">
        <f ca="1">IFERROR(__xludf.DUMMYFUNCTION("""COMPUTED_VALUE"""),90)</f>
        <v>90</v>
      </c>
      <c r="E134" s="13"/>
      <c r="F134" s="14" t="str">
        <f ca="1">IFERROR(__xludf.DUMMYFUNCTION("""COMPUTED_VALUE"""),"ту 14-1-205, НД, АТП, УзК")</f>
        <v>ту 14-1-205, НД, АТП, УзК</v>
      </c>
      <c r="G134" s="15">
        <f ca="1">IFERROR(__xludf.DUMMYFUNCTION("""COMPUTED_VALUE"""),1.466)</f>
        <v>1.466</v>
      </c>
      <c r="H134" s="15"/>
      <c r="I134" s="16">
        <f ca="1">IFERROR(__xludf.DUMMYFUNCTION("""COMPUTED_VALUE"""),750000)</f>
        <v>750000</v>
      </c>
    </row>
    <row r="135" spans="2:9" x14ac:dyDescent="0.3">
      <c r="B135" s="12" t="str">
        <f ca="1">IFERROR(__xludf.DUMMYFUNCTION("""COMPUTED_VALUE"""),"круг")</f>
        <v>круг</v>
      </c>
      <c r="C135" s="7" t="str">
        <f ca="1">IFERROR(__xludf.DUMMYFUNCTION("""COMPUTED_VALUE"""),"07Х16Н6 (ЭП288)")</f>
        <v>07Х16Н6 (ЭП288)</v>
      </c>
      <c r="D135" s="13">
        <f ca="1">IFERROR(__xludf.DUMMYFUNCTION("""COMPUTED_VALUE"""),90)</f>
        <v>90</v>
      </c>
      <c r="E135" s="13"/>
      <c r="F135" s="14" t="str">
        <f ca="1">IFERROR(__xludf.DUMMYFUNCTION("""COMPUTED_VALUE"""),"ту 14-1-205, НД, АТП, УзК")</f>
        <v>ту 14-1-205, НД, АТП, УзК</v>
      </c>
      <c r="G135" s="15">
        <f ca="1">IFERROR(__xludf.DUMMYFUNCTION("""COMPUTED_VALUE"""),0.205)</f>
        <v>0.20499999999999999</v>
      </c>
      <c r="H135" s="15"/>
      <c r="I135" s="16">
        <f ca="1">IFERROR(__xludf.DUMMYFUNCTION("""COMPUTED_VALUE"""),750000)</f>
        <v>750000</v>
      </c>
    </row>
    <row r="136" spans="2:9" x14ac:dyDescent="0.3">
      <c r="B136" s="12" t="str">
        <f ca="1">IFERROR(__xludf.DUMMYFUNCTION("""COMPUTED_VALUE"""),"круг")</f>
        <v>круг</v>
      </c>
      <c r="C136" s="7" t="str">
        <f ca="1">IFERROR(__xludf.DUMMYFUNCTION("""COMPUTED_VALUE"""),"07Х16Н6 (ЭП288)")</f>
        <v>07Х16Н6 (ЭП288)</v>
      </c>
      <c r="D136" s="13">
        <f ca="1">IFERROR(__xludf.DUMMYFUNCTION("""COMPUTED_VALUE"""),95)</f>
        <v>95</v>
      </c>
      <c r="E136" s="13"/>
      <c r="F136" s="14" t="str">
        <f ca="1">IFERROR(__xludf.DUMMYFUNCTION("""COMPUTED_VALUE"""),"ту 14-1-205, НД, АТП, УзК")</f>
        <v>ту 14-1-205, НД, АТП, УзК</v>
      </c>
      <c r="G136" s="15">
        <f ca="1">IFERROR(__xludf.DUMMYFUNCTION("""COMPUTED_VALUE"""),1.58599999999999)</f>
        <v>1.5859999999999901</v>
      </c>
      <c r="H136" s="15"/>
      <c r="I136" s="16">
        <f ca="1">IFERROR(__xludf.DUMMYFUNCTION("""COMPUTED_VALUE"""),580000)</f>
        <v>580000</v>
      </c>
    </row>
    <row r="137" spans="2:9" x14ac:dyDescent="0.3">
      <c r="B137" s="12" t="str">
        <f ca="1">IFERROR(__xludf.DUMMYFUNCTION("""COMPUTED_VALUE"""),"круг")</f>
        <v>круг</v>
      </c>
      <c r="C137" s="7" t="str">
        <f ca="1">IFERROR(__xludf.DUMMYFUNCTION("""COMPUTED_VALUE"""),"07Х16Н6 (ЭП288)")</f>
        <v>07Х16Н6 (ЭП288)</v>
      </c>
      <c r="D137" s="13">
        <f ca="1">IFERROR(__xludf.DUMMYFUNCTION("""COMPUTED_VALUE"""),95)</f>
        <v>95</v>
      </c>
      <c r="E137" s="13"/>
      <c r="F137" s="14" t="str">
        <f ca="1">IFERROR(__xludf.DUMMYFUNCTION("""COMPUTED_VALUE"""),"ту 14-1-205, НД, АТП, УзК")</f>
        <v>ту 14-1-205, НД, АТП, УзК</v>
      </c>
      <c r="G137" s="15">
        <f ca="1">IFERROR(__xludf.DUMMYFUNCTION("""COMPUTED_VALUE"""),2.156)</f>
        <v>2.1560000000000001</v>
      </c>
      <c r="H137" s="15"/>
      <c r="I137" s="16">
        <f ca="1">IFERROR(__xludf.DUMMYFUNCTION("""COMPUTED_VALUE"""),580000)</f>
        <v>580000</v>
      </c>
    </row>
    <row r="138" spans="2:9" x14ac:dyDescent="0.3">
      <c r="B138" s="12" t="str">
        <f ca="1">IFERROR(__xludf.DUMMYFUNCTION("""COMPUTED_VALUE"""),"круг")</f>
        <v>круг</v>
      </c>
      <c r="C138" s="7" t="str">
        <f ca="1">IFERROR(__xludf.DUMMYFUNCTION("""COMPUTED_VALUE"""),"07Х16Н6 (ЭП288)")</f>
        <v>07Х16Н6 (ЭП288)</v>
      </c>
      <c r="D138" s="13">
        <f ca="1">IFERROR(__xludf.DUMMYFUNCTION("""COMPUTED_VALUE"""),100)</f>
        <v>100</v>
      </c>
      <c r="E138" s="13"/>
      <c r="F138" s="14" t="str">
        <f ca="1">IFERROR(__xludf.DUMMYFUNCTION("""COMPUTED_VALUE"""),"ту 14-1-205, НД, АТП, УзК")</f>
        <v>ту 14-1-205, НД, АТП, УзК</v>
      </c>
      <c r="G138" s="15">
        <f ca="1">IFERROR(__xludf.DUMMYFUNCTION("""COMPUTED_VALUE"""),0.0129999999999999)</f>
        <v>1.2999999999999901E-2</v>
      </c>
      <c r="H138" s="15"/>
      <c r="I138" s="16">
        <f ca="1">IFERROR(__xludf.DUMMYFUNCTION("""COMPUTED_VALUE"""),750000)</f>
        <v>750000</v>
      </c>
    </row>
    <row r="139" spans="2:9" x14ac:dyDescent="0.3">
      <c r="B139" s="12" t="str">
        <f ca="1">IFERROR(__xludf.DUMMYFUNCTION("""COMPUTED_VALUE"""),"круг")</f>
        <v>круг</v>
      </c>
      <c r="C139" s="7" t="str">
        <f ca="1">IFERROR(__xludf.DUMMYFUNCTION("""COMPUTED_VALUE"""),"07Х16Н6 (ЭП288)")</f>
        <v>07Х16Н6 (ЭП288)</v>
      </c>
      <c r="D139" s="13">
        <f ca="1">IFERROR(__xludf.DUMMYFUNCTION("""COMPUTED_VALUE"""),110)</f>
        <v>110</v>
      </c>
      <c r="E139" s="13"/>
      <c r="F139" s="14" t="str">
        <f ca="1">IFERROR(__xludf.DUMMYFUNCTION("""COMPUTED_VALUE"""),"ту 14-1-205, НД, АТП, УзК")</f>
        <v>ту 14-1-205, НД, АТП, УзК</v>
      </c>
      <c r="G139" s="15">
        <f ca="1">IFERROR(__xludf.DUMMYFUNCTION("""COMPUTED_VALUE"""),0.726999999999999)</f>
        <v>0.72699999999999898</v>
      </c>
      <c r="H139" s="15"/>
      <c r="I139" s="16">
        <f ca="1">IFERROR(__xludf.DUMMYFUNCTION("""COMPUTED_VALUE"""),750000)</f>
        <v>750000</v>
      </c>
    </row>
    <row r="140" spans="2:9" x14ac:dyDescent="0.3">
      <c r="B140" s="12" t="str">
        <f ca="1">IFERROR(__xludf.DUMMYFUNCTION("""COMPUTED_VALUE"""),"круг")</f>
        <v>круг</v>
      </c>
      <c r="C140" s="7" t="str">
        <f ca="1">IFERROR(__xludf.DUMMYFUNCTION("""COMPUTED_VALUE"""),"07Х16Н6 (ЭП288)")</f>
        <v>07Х16Н6 (ЭП288)</v>
      </c>
      <c r="D140" s="13">
        <f ca="1">IFERROR(__xludf.DUMMYFUNCTION("""COMPUTED_VALUE"""),110)</f>
        <v>110</v>
      </c>
      <c r="E140" s="13"/>
      <c r="F140" s="14" t="str">
        <f ca="1">IFERROR(__xludf.DUMMYFUNCTION("""COMPUTED_VALUE"""),"ту 14-1-205, НД, АТП, УзК")</f>
        <v>ту 14-1-205, НД, АТП, УзК</v>
      </c>
      <c r="G140" s="15">
        <f ca="1">IFERROR(__xludf.DUMMYFUNCTION("""COMPUTED_VALUE"""),1.515)</f>
        <v>1.5149999999999999</v>
      </c>
      <c r="H140" s="15"/>
      <c r="I140" s="16">
        <f ca="1">IFERROR(__xludf.DUMMYFUNCTION("""COMPUTED_VALUE"""),750000)</f>
        <v>750000</v>
      </c>
    </row>
    <row r="141" spans="2:9" x14ac:dyDescent="0.3">
      <c r="B141" s="12" t="str">
        <f ca="1">IFERROR(__xludf.DUMMYFUNCTION("""COMPUTED_VALUE"""),"круг")</f>
        <v>круг</v>
      </c>
      <c r="C141" s="7" t="str">
        <f ca="1">IFERROR(__xludf.DUMMYFUNCTION("""COMPUTED_VALUE"""),"07Х16Н6 (ЭП288)")</f>
        <v>07Х16Н6 (ЭП288)</v>
      </c>
      <c r="D141" s="13">
        <f ca="1">IFERROR(__xludf.DUMMYFUNCTION("""COMPUTED_VALUE"""),120)</f>
        <v>120</v>
      </c>
      <c r="E141" s="13"/>
      <c r="F141" s="14" t="str">
        <f ca="1">IFERROR(__xludf.DUMMYFUNCTION("""COMPUTED_VALUE"""),"ту 14-1-205, НД, АТП, УзК")</f>
        <v>ту 14-1-205, НД, АТП, УзК</v>
      </c>
      <c r="G141" s="15">
        <f ca="1">IFERROR(__xludf.DUMMYFUNCTION("""COMPUTED_VALUE"""),0.146)</f>
        <v>0.14599999999999999</v>
      </c>
      <c r="H141" s="15"/>
      <c r="I141" s="16">
        <f ca="1">IFERROR(__xludf.DUMMYFUNCTION("""COMPUTED_VALUE"""),750000)</f>
        <v>750000</v>
      </c>
    </row>
    <row r="142" spans="2:9" x14ac:dyDescent="0.3">
      <c r="B142" s="12" t="str">
        <f ca="1">IFERROR(__xludf.DUMMYFUNCTION("""COMPUTED_VALUE"""),"круг")</f>
        <v>круг</v>
      </c>
      <c r="C142" s="7" t="str">
        <f ca="1">IFERROR(__xludf.DUMMYFUNCTION("""COMPUTED_VALUE"""),"07Х16Н6 (ЭП288)")</f>
        <v>07Х16Н6 (ЭП288)</v>
      </c>
      <c r="D142" s="13">
        <f ca="1">IFERROR(__xludf.DUMMYFUNCTION("""COMPUTED_VALUE"""),120)</f>
        <v>120</v>
      </c>
      <c r="E142" s="13"/>
      <c r="F142" s="14" t="str">
        <f ca="1">IFERROR(__xludf.DUMMYFUNCTION("""COMPUTED_VALUE"""),"ту 14-1-205, НД, АТП, УзК")</f>
        <v>ту 14-1-205, НД, АТП, УзК</v>
      </c>
      <c r="G142" s="15">
        <f ca="1">IFERROR(__xludf.DUMMYFUNCTION("""COMPUTED_VALUE"""),0.875)</f>
        <v>0.875</v>
      </c>
      <c r="H142" s="15"/>
      <c r="I142" s="16">
        <f ca="1">IFERROR(__xludf.DUMMYFUNCTION("""COMPUTED_VALUE"""),750000)</f>
        <v>750000</v>
      </c>
    </row>
    <row r="143" spans="2:9" x14ac:dyDescent="0.3">
      <c r="B143" s="12" t="str">
        <f ca="1">IFERROR(__xludf.DUMMYFUNCTION("""COMPUTED_VALUE"""),"круг")</f>
        <v>круг</v>
      </c>
      <c r="C143" s="7" t="str">
        <f ca="1">IFERROR(__xludf.DUMMYFUNCTION("""COMPUTED_VALUE"""),"07Х16Н6 (ЭП288)")</f>
        <v>07Х16Н6 (ЭП288)</v>
      </c>
      <c r="D143" s="13">
        <f ca="1">IFERROR(__xludf.DUMMYFUNCTION("""COMPUTED_VALUE"""),120)</f>
        <v>120</v>
      </c>
      <c r="E143" s="13"/>
      <c r="F143" s="14" t="str">
        <f ca="1">IFERROR(__xludf.DUMMYFUNCTION("""COMPUTED_VALUE"""),"ту 14-1-205, НД, АТП, УзК")</f>
        <v>ту 14-1-205, НД, АТП, УзК</v>
      </c>
      <c r="G143" s="15">
        <f ca="1">IFERROR(__xludf.DUMMYFUNCTION("""COMPUTED_VALUE"""),0.425)</f>
        <v>0.42499999999999999</v>
      </c>
      <c r="H143" s="15"/>
      <c r="I143" s="16">
        <f ca="1">IFERROR(__xludf.DUMMYFUNCTION("""COMPUTED_VALUE"""),750000)</f>
        <v>750000</v>
      </c>
    </row>
    <row r="144" spans="2:9" x14ac:dyDescent="0.3">
      <c r="B144" s="12" t="str">
        <f ca="1">IFERROR(__xludf.DUMMYFUNCTION("""COMPUTED_VALUE"""),"круг")</f>
        <v>круг</v>
      </c>
      <c r="C144" s="7" t="str">
        <f ca="1">IFERROR(__xludf.DUMMYFUNCTION("""COMPUTED_VALUE"""),"07Х16Н6 (ЭП288)")</f>
        <v>07Х16Н6 (ЭП288)</v>
      </c>
      <c r="D144" s="13">
        <f ca="1">IFERROR(__xludf.DUMMYFUNCTION("""COMPUTED_VALUE"""),120)</f>
        <v>120</v>
      </c>
      <c r="E144" s="13"/>
      <c r="F144" s="14" t="str">
        <f ca="1">IFERROR(__xludf.DUMMYFUNCTION("""COMPUTED_VALUE"""),"ту 14-1-205, НД, АТП, УзК")</f>
        <v>ту 14-1-205, НД, АТП, УзК</v>
      </c>
      <c r="G144" s="15">
        <f ca="1">IFERROR(__xludf.DUMMYFUNCTION("""COMPUTED_VALUE"""),0.45)</f>
        <v>0.45</v>
      </c>
      <c r="H144" s="15"/>
      <c r="I144" s="16">
        <f ca="1">IFERROR(__xludf.DUMMYFUNCTION("""COMPUTED_VALUE"""),750000)</f>
        <v>750000</v>
      </c>
    </row>
    <row r="145" spans="2:9" x14ac:dyDescent="0.3">
      <c r="B145" s="12" t="str">
        <f ca="1">IFERROR(__xludf.DUMMYFUNCTION("""COMPUTED_VALUE"""),"круг")</f>
        <v>круг</v>
      </c>
      <c r="C145" s="7" t="str">
        <f ca="1">IFERROR(__xludf.DUMMYFUNCTION("""COMPUTED_VALUE"""),"07Х16Н6 (ЭП288)")</f>
        <v>07Х16Н6 (ЭП288)</v>
      </c>
      <c r="D145" s="13">
        <f ca="1">IFERROR(__xludf.DUMMYFUNCTION("""COMPUTED_VALUE"""),125)</f>
        <v>125</v>
      </c>
      <c r="E145" s="13"/>
      <c r="F145" s="14" t="str">
        <f ca="1">IFERROR(__xludf.DUMMYFUNCTION("""COMPUTED_VALUE"""),"ту 14-1-205, НД, АТП, УзК")</f>
        <v>ту 14-1-205, НД, АТП, УзК</v>
      </c>
      <c r="G145" s="15">
        <f ca="1">IFERROR(__xludf.DUMMYFUNCTION("""COMPUTED_VALUE"""),1.896)</f>
        <v>1.8959999999999999</v>
      </c>
      <c r="H145" s="15"/>
      <c r="I145" s="16">
        <f ca="1">IFERROR(__xludf.DUMMYFUNCTION("""COMPUTED_VALUE"""),600000)</f>
        <v>600000</v>
      </c>
    </row>
    <row r="146" spans="2:9" x14ac:dyDescent="0.3">
      <c r="B146" s="12" t="str">
        <f ca="1">IFERROR(__xludf.DUMMYFUNCTION("""COMPUTED_VALUE"""),"круг")</f>
        <v>круг</v>
      </c>
      <c r="C146" s="7" t="str">
        <f ca="1">IFERROR(__xludf.DUMMYFUNCTION("""COMPUTED_VALUE"""),"07Х16Н6 (ЭП288)")</f>
        <v>07Х16Н6 (ЭП288)</v>
      </c>
      <c r="D146" s="13">
        <f ca="1">IFERROR(__xludf.DUMMYFUNCTION("""COMPUTED_VALUE"""),130)</f>
        <v>130</v>
      </c>
      <c r="E146" s="13"/>
      <c r="F146" s="14" t="str">
        <f ca="1">IFERROR(__xludf.DUMMYFUNCTION("""COMPUTED_VALUE"""),"ту 14-1-205, НД, АТП, УзК")</f>
        <v>ту 14-1-205, НД, АТП, УзК</v>
      </c>
      <c r="G146" s="15">
        <f ca="1">IFERROR(__xludf.DUMMYFUNCTION("""COMPUTED_VALUE"""),2.124)</f>
        <v>2.1240000000000001</v>
      </c>
      <c r="H146" s="15"/>
      <c r="I146" s="16">
        <f ca="1">IFERROR(__xludf.DUMMYFUNCTION("""COMPUTED_VALUE"""),580000)</f>
        <v>580000</v>
      </c>
    </row>
    <row r="147" spans="2:9" x14ac:dyDescent="0.3">
      <c r="B147" s="12" t="str">
        <f ca="1">IFERROR(__xludf.DUMMYFUNCTION("""COMPUTED_VALUE"""),"круг")</f>
        <v>круг</v>
      </c>
      <c r="C147" s="7" t="str">
        <f ca="1">IFERROR(__xludf.DUMMYFUNCTION("""COMPUTED_VALUE"""),"07Х16Н6 (ЭП288)")</f>
        <v>07Х16Н6 (ЭП288)</v>
      </c>
      <c r="D147" s="13">
        <f ca="1">IFERROR(__xludf.DUMMYFUNCTION("""COMPUTED_VALUE"""),140)</f>
        <v>140</v>
      </c>
      <c r="E147" s="13"/>
      <c r="F147" s="14" t="str">
        <f ca="1">IFERROR(__xludf.DUMMYFUNCTION("""COMPUTED_VALUE"""),"ту 14-1-205, НД, АТП, УзК")</f>
        <v>ту 14-1-205, НД, АТП, УзК</v>
      </c>
      <c r="G147" s="15">
        <f ca="1">IFERROR(__xludf.DUMMYFUNCTION("""COMPUTED_VALUE"""),2.256)</f>
        <v>2.2559999999999998</v>
      </c>
      <c r="H147" s="15"/>
      <c r="I147" s="16">
        <f ca="1">IFERROR(__xludf.DUMMYFUNCTION("""COMPUTED_VALUE"""),750000)</f>
        <v>750000</v>
      </c>
    </row>
    <row r="148" spans="2:9" x14ac:dyDescent="0.3">
      <c r="B148" s="12" t="str">
        <f ca="1">IFERROR(__xludf.DUMMYFUNCTION("""COMPUTED_VALUE"""),"круг")</f>
        <v>круг</v>
      </c>
      <c r="C148" s="7" t="str">
        <f ca="1">IFERROR(__xludf.DUMMYFUNCTION("""COMPUTED_VALUE"""),"07Х16Н6 (ЭП288)")</f>
        <v>07Х16Н6 (ЭП288)</v>
      </c>
      <c r="D148" s="13">
        <f ca="1">IFERROR(__xludf.DUMMYFUNCTION("""COMPUTED_VALUE"""),150)</f>
        <v>150</v>
      </c>
      <c r="E148" s="13"/>
      <c r="F148" s="14" t="str">
        <f ca="1">IFERROR(__xludf.DUMMYFUNCTION("""COMPUTED_VALUE"""),"ту 14-1-205, НД, АТП, УзК")</f>
        <v>ту 14-1-205, НД, АТП, УзК</v>
      </c>
      <c r="G148" s="15">
        <f ca="1">IFERROR(__xludf.DUMMYFUNCTION("""COMPUTED_VALUE"""),0.241)</f>
        <v>0.24099999999999999</v>
      </c>
      <c r="H148" s="15"/>
      <c r="I148" s="16">
        <f ca="1">IFERROR(__xludf.DUMMYFUNCTION("""COMPUTED_VALUE"""),750000)</f>
        <v>750000</v>
      </c>
    </row>
    <row r="149" spans="2:9" x14ac:dyDescent="0.3">
      <c r="B149" s="12" t="str">
        <f ca="1">IFERROR(__xludf.DUMMYFUNCTION("""COMPUTED_VALUE"""),"круг")</f>
        <v>круг</v>
      </c>
      <c r="C149" s="7" t="str">
        <f ca="1">IFERROR(__xludf.DUMMYFUNCTION("""COMPUTED_VALUE"""),"07Х16Н6 (ЭП288)")</f>
        <v>07Х16Н6 (ЭП288)</v>
      </c>
      <c r="D149" s="13">
        <f ca="1">IFERROR(__xludf.DUMMYFUNCTION("""COMPUTED_VALUE"""),160)</f>
        <v>160</v>
      </c>
      <c r="E149" s="13"/>
      <c r="F149" s="14" t="str">
        <f ca="1">IFERROR(__xludf.DUMMYFUNCTION("""COMPUTED_VALUE"""),"ту 14-1-205, НД, АТП, УзК")</f>
        <v>ту 14-1-205, НД, АТП, УзК</v>
      </c>
      <c r="G149" s="15">
        <f ca="1">IFERROR(__xludf.DUMMYFUNCTION("""COMPUTED_VALUE"""),2.35399999999999)</f>
        <v>2.3539999999999899</v>
      </c>
      <c r="H149" s="15"/>
      <c r="I149" s="16">
        <f ca="1">IFERROR(__xludf.DUMMYFUNCTION("""COMPUTED_VALUE"""),760000)</f>
        <v>760000</v>
      </c>
    </row>
    <row r="150" spans="2:9" x14ac:dyDescent="0.3">
      <c r="B150" s="12" t="str">
        <f ca="1">IFERROR(__xludf.DUMMYFUNCTION("""COMPUTED_VALUE"""),"круг")</f>
        <v>круг</v>
      </c>
      <c r="C150" s="7" t="str">
        <f ca="1">IFERROR(__xludf.DUMMYFUNCTION("""COMPUTED_VALUE"""),"07Х16Н6 (ЭП288)")</f>
        <v>07Х16Н6 (ЭП288)</v>
      </c>
      <c r="D150" s="13">
        <f ca="1">IFERROR(__xludf.DUMMYFUNCTION("""COMPUTED_VALUE"""),170)</f>
        <v>170</v>
      </c>
      <c r="E150" s="13"/>
      <c r="F150" s="14" t="str">
        <f ca="1">IFERROR(__xludf.DUMMYFUNCTION("""COMPUTED_VALUE"""),"ту 14-1-205, НД, АТП, УзК")</f>
        <v>ту 14-1-205, НД, АТП, УзК</v>
      </c>
      <c r="G150" s="15">
        <f ca="1">IFERROR(__xludf.DUMMYFUNCTION("""COMPUTED_VALUE"""),0.705)</f>
        <v>0.70499999999999996</v>
      </c>
      <c r="H150" s="15"/>
      <c r="I150" s="16">
        <f ca="1">IFERROR(__xludf.DUMMYFUNCTION("""COMPUTED_VALUE"""),750000)</f>
        <v>750000</v>
      </c>
    </row>
    <row r="151" spans="2:9" x14ac:dyDescent="0.3">
      <c r="B151" s="12" t="str">
        <f ca="1">IFERROR(__xludf.DUMMYFUNCTION("""COMPUTED_VALUE"""),"круг")</f>
        <v>круг</v>
      </c>
      <c r="C151" s="7" t="str">
        <f ca="1">IFERROR(__xludf.DUMMYFUNCTION("""COMPUTED_VALUE"""),"07Х16Н6 (ЭП288)")</f>
        <v>07Х16Н6 (ЭП288)</v>
      </c>
      <c r="D151" s="13">
        <f ca="1">IFERROR(__xludf.DUMMYFUNCTION("""COMPUTED_VALUE"""),190)</f>
        <v>190</v>
      </c>
      <c r="E151" s="13"/>
      <c r="F151" s="14" t="str">
        <f ca="1">IFERROR(__xludf.DUMMYFUNCTION("""COMPUTED_VALUE"""),"ту 14-1-205, НД, АТП, УзК")</f>
        <v>ту 14-1-205, НД, АТП, УзК</v>
      </c>
      <c r="G151" s="15">
        <f ca="1">IFERROR(__xludf.DUMMYFUNCTION("""COMPUTED_VALUE"""),0.165)</f>
        <v>0.16500000000000001</v>
      </c>
      <c r="H151" s="15"/>
      <c r="I151" s="16">
        <f ca="1">IFERROR(__xludf.DUMMYFUNCTION("""COMPUTED_VALUE"""),750000)</f>
        <v>750000</v>
      </c>
    </row>
    <row r="152" spans="2:9" x14ac:dyDescent="0.3">
      <c r="B152" s="12" t="str">
        <f ca="1">IFERROR(__xludf.DUMMYFUNCTION("""COMPUTED_VALUE"""),"круг")</f>
        <v>круг</v>
      </c>
      <c r="C152" s="7" t="str">
        <f ca="1">IFERROR(__xludf.DUMMYFUNCTION("""COMPUTED_VALUE"""),"07Х16Н6 (ЭП288)")</f>
        <v>07Х16Н6 (ЭП288)</v>
      </c>
      <c r="D152" s="13">
        <f ca="1">IFERROR(__xludf.DUMMYFUNCTION("""COMPUTED_VALUE"""),190)</f>
        <v>190</v>
      </c>
      <c r="E152" s="13"/>
      <c r="F152" s="14" t="str">
        <f ca="1">IFERROR(__xludf.DUMMYFUNCTION("""COMPUTED_VALUE"""),"ту 14-1-205, НД, АТП, УзК")</f>
        <v>ту 14-1-205, НД, АТП, УзК</v>
      </c>
      <c r="G152" s="15">
        <f ca="1">IFERROR(__xludf.DUMMYFUNCTION("""COMPUTED_VALUE"""),0.872)</f>
        <v>0.872</v>
      </c>
      <c r="H152" s="15"/>
      <c r="I152" s="16">
        <f ca="1">IFERROR(__xludf.DUMMYFUNCTION("""COMPUTED_VALUE"""),760000)</f>
        <v>760000</v>
      </c>
    </row>
    <row r="153" spans="2:9" x14ac:dyDescent="0.3">
      <c r="B153" s="12" t="str">
        <f ca="1">IFERROR(__xludf.DUMMYFUNCTION("""COMPUTED_VALUE"""),"круг")</f>
        <v>круг</v>
      </c>
      <c r="C153" s="7" t="str">
        <f ca="1">IFERROR(__xludf.DUMMYFUNCTION("""COMPUTED_VALUE"""),"07Х16Н6 (ЭП288)")</f>
        <v>07Х16Н6 (ЭП288)</v>
      </c>
      <c r="D153" s="13">
        <f ca="1">IFERROR(__xludf.DUMMYFUNCTION("""COMPUTED_VALUE"""),200)</f>
        <v>200</v>
      </c>
      <c r="E153" s="13"/>
      <c r="F153" s="14" t="str">
        <f ca="1">IFERROR(__xludf.DUMMYFUNCTION("""COMPUTED_VALUE"""),"ту 14-1-205, НД, АТП, УзК")</f>
        <v>ту 14-1-205, НД, АТП, УзК</v>
      </c>
      <c r="G153" s="15">
        <f ca="1">IFERROR(__xludf.DUMMYFUNCTION("""COMPUTED_VALUE"""),1.846)</f>
        <v>1.8460000000000001</v>
      </c>
      <c r="H153" s="15"/>
      <c r="I153" s="16">
        <f ca="1">IFERROR(__xludf.DUMMYFUNCTION("""COMPUTED_VALUE"""),750000)</f>
        <v>750000</v>
      </c>
    </row>
    <row r="154" spans="2:9" x14ac:dyDescent="0.3">
      <c r="B154" s="12" t="str">
        <f ca="1">IFERROR(__xludf.DUMMYFUNCTION("""COMPUTED_VALUE"""),"круг")</f>
        <v>круг</v>
      </c>
      <c r="C154" s="7" t="str">
        <f ca="1">IFERROR(__xludf.DUMMYFUNCTION("""COMPUTED_VALUE"""),"07Х16Н6 (ЭП288)")</f>
        <v>07Х16Н6 (ЭП288)</v>
      </c>
      <c r="D154" s="13">
        <f ca="1">IFERROR(__xludf.DUMMYFUNCTION("""COMPUTED_VALUE"""),220)</f>
        <v>220</v>
      </c>
      <c r="E154" s="13"/>
      <c r="F154" s="14" t="str">
        <f ca="1">IFERROR(__xludf.DUMMYFUNCTION("""COMPUTED_VALUE"""),"ту 14-1-205, НД, АТП, УзК, кован")</f>
        <v>ту 14-1-205, НД, АТП, УзК, кован</v>
      </c>
      <c r="G154" s="15">
        <f ca="1">IFERROR(__xludf.DUMMYFUNCTION("""COMPUTED_VALUE"""),1.5)</f>
        <v>1.5</v>
      </c>
      <c r="H154" s="15"/>
      <c r="I154" s="16">
        <f ca="1">IFERROR(__xludf.DUMMYFUNCTION("""COMPUTED_VALUE"""),900000)</f>
        <v>900000</v>
      </c>
    </row>
    <row r="155" spans="2:9" x14ac:dyDescent="0.3">
      <c r="B155" s="12" t="str">
        <f ca="1">IFERROR(__xludf.DUMMYFUNCTION("""COMPUTED_VALUE"""),"круг")</f>
        <v>круг</v>
      </c>
      <c r="C155" s="7" t="str">
        <f ca="1">IFERROR(__xludf.DUMMYFUNCTION("""COMPUTED_VALUE"""),"07Х16Н6 (ЭП288)")</f>
        <v>07Х16Н6 (ЭП288)</v>
      </c>
      <c r="D155" s="13">
        <f ca="1">IFERROR(__xludf.DUMMYFUNCTION("""COMPUTED_VALUE"""),250)</f>
        <v>250</v>
      </c>
      <c r="E155" s="13"/>
      <c r="F155" s="14" t="str">
        <f ca="1">IFERROR(__xludf.DUMMYFUNCTION("""COMPUTED_VALUE"""),"ту 14-1-205, НД, АТП, УзК, кован")</f>
        <v>ту 14-1-205, НД, АТП, УзК, кован</v>
      </c>
      <c r="G155" s="15">
        <f ca="1">IFERROR(__xludf.DUMMYFUNCTION("""COMPUTED_VALUE"""),1.5)</f>
        <v>1.5</v>
      </c>
      <c r="H155" s="15"/>
      <c r="I155" s="16">
        <f ca="1">IFERROR(__xludf.DUMMYFUNCTION("""COMPUTED_VALUE"""),900000)</f>
        <v>900000</v>
      </c>
    </row>
    <row r="156" spans="2:9" x14ac:dyDescent="0.3">
      <c r="B156" s="12" t="str">
        <f ca="1">IFERROR(__xludf.DUMMYFUNCTION("""COMPUTED_VALUE"""),"круг")</f>
        <v>круг</v>
      </c>
      <c r="C156" s="7" t="str">
        <f ca="1">IFERROR(__xludf.DUMMYFUNCTION("""COMPUTED_VALUE"""),"07Х16Н6 (ЭП288)")</f>
        <v>07Х16Н6 (ЭП288)</v>
      </c>
      <c r="D156" s="13">
        <f ca="1">IFERROR(__xludf.DUMMYFUNCTION("""COMPUTED_VALUE"""),280)</f>
        <v>280</v>
      </c>
      <c r="E156" s="13"/>
      <c r="F156" s="14" t="str">
        <f ca="1">IFERROR(__xludf.DUMMYFUNCTION("""COMPUTED_VALUE"""),"ту 14-1-205, НД, АТП, УзК, кован")</f>
        <v>ту 14-1-205, НД, АТП, УзК, кован</v>
      </c>
      <c r="G156" s="15">
        <f ca="1">IFERROR(__xludf.DUMMYFUNCTION("""COMPUTED_VALUE"""),1.5)</f>
        <v>1.5</v>
      </c>
      <c r="H156" s="15"/>
      <c r="I156" s="16">
        <f ca="1">IFERROR(__xludf.DUMMYFUNCTION("""COMPUTED_VALUE"""),900000)</f>
        <v>900000</v>
      </c>
    </row>
    <row r="157" spans="2:9" x14ac:dyDescent="0.3">
      <c r="B157" s="12" t="str">
        <f ca="1">IFERROR(__xludf.DUMMYFUNCTION("""COMPUTED_VALUE"""),"круг")</f>
        <v>круг</v>
      </c>
      <c r="C157" s="7" t="str">
        <f ca="1">IFERROR(__xludf.DUMMYFUNCTION("""COMPUTED_VALUE"""),"07Х16Н6 (ЭП288)")</f>
        <v>07Х16Н6 (ЭП288)</v>
      </c>
      <c r="D157" s="13">
        <f ca="1">IFERROR(__xludf.DUMMYFUNCTION("""COMPUTED_VALUE"""),300)</f>
        <v>300</v>
      </c>
      <c r="E157" s="13"/>
      <c r="F157" s="14" t="str">
        <f ca="1">IFERROR(__xludf.DUMMYFUNCTION("""COMPUTED_VALUE"""),"ту 14-1-205, НД, АТП, УзК, кован")</f>
        <v>ту 14-1-205, НД, АТП, УзК, кован</v>
      </c>
      <c r="G157" s="15">
        <f ca="1">IFERROR(__xludf.DUMMYFUNCTION("""COMPUTED_VALUE"""),1.5)</f>
        <v>1.5</v>
      </c>
      <c r="H157" s="15"/>
      <c r="I157" s="16">
        <f ca="1">IFERROR(__xludf.DUMMYFUNCTION("""COMPUTED_VALUE"""),900000)</f>
        <v>900000</v>
      </c>
    </row>
    <row r="158" spans="2:9" x14ac:dyDescent="0.3">
      <c r="B158" s="12" t="str">
        <f ca="1">IFERROR(__xludf.DUMMYFUNCTION("""COMPUTED_VALUE"""),"круг")</f>
        <v>круг</v>
      </c>
      <c r="C158" s="7" t="str">
        <f ca="1">IFERROR(__xludf.DUMMYFUNCTION("""COMPUTED_VALUE"""),"07Х16Н6 (ЭП288)")</f>
        <v>07Х16Н6 (ЭП288)</v>
      </c>
      <c r="D158" s="13">
        <f ca="1">IFERROR(__xludf.DUMMYFUNCTION("""COMPUTED_VALUE"""),320)</f>
        <v>320</v>
      </c>
      <c r="E158" s="13"/>
      <c r="F158" s="14" t="str">
        <f ca="1">IFERROR(__xludf.DUMMYFUNCTION("""COMPUTED_VALUE"""),"ту 14-1-205, НД, АТП, УзК, кован")</f>
        <v>ту 14-1-205, НД, АТП, УзК, кован</v>
      </c>
      <c r="G158" s="15">
        <f ca="1">IFERROR(__xludf.DUMMYFUNCTION("""COMPUTED_VALUE"""),2)</f>
        <v>2</v>
      </c>
      <c r="H158" s="15"/>
      <c r="I158" s="16">
        <f ca="1">IFERROR(__xludf.DUMMYFUNCTION("""COMPUTED_VALUE"""),900000)</f>
        <v>900000</v>
      </c>
    </row>
    <row r="159" spans="2:9" x14ac:dyDescent="0.3">
      <c r="B159" s="12" t="str">
        <f ca="1">IFERROR(__xludf.DUMMYFUNCTION("""COMPUTED_VALUE"""),"круг")</f>
        <v>круг</v>
      </c>
      <c r="C159" s="7" t="str">
        <f ca="1">IFERROR(__xludf.DUMMYFUNCTION("""COMPUTED_VALUE"""),"07Х16Н6 (ЭП288)")</f>
        <v>07Х16Н6 (ЭП288)</v>
      </c>
      <c r="D159" s="13">
        <f ca="1">IFERROR(__xludf.DUMMYFUNCTION("""COMPUTED_VALUE"""),350)</f>
        <v>350</v>
      </c>
      <c r="E159" s="13"/>
      <c r="F159" s="14" t="str">
        <f ca="1">IFERROR(__xludf.DUMMYFUNCTION("""COMPUTED_VALUE"""),"ту 14-1-205, НД, АТП, УзК, кован")</f>
        <v>ту 14-1-205, НД, АТП, УзК, кован</v>
      </c>
      <c r="G159" s="15">
        <f ca="1">IFERROR(__xludf.DUMMYFUNCTION("""COMPUTED_VALUE"""),2)</f>
        <v>2</v>
      </c>
      <c r="H159" s="15"/>
      <c r="I159" s="16">
        <f ca="1">IFERROR(__xludf.DUMMYFUNCTION("""COMPUTED_VALUE"""),900000)</f>
        <v>900000</v>
      </c>
    </row>
    <row r="160" spans="2:9" x14ac:dyDescent="0.3">
      <c r="B160" s="12" t="str">
        <f ca="1">IFERROR(__xludf.DUMMYFUNCTION("""COMPUTED_VALUE"""),"круг")</f>
        <v>круг</v>
      </c>
      <c r="C160" s="7" t="str">
        <f ca="1">IFERROR(__xludf.DUMMYFUNCTION("""COMPUTED_VALUE"""),"07Х16Н6 (ЭП288)")</f>
        <v>07Х16Н6 (ЭП288)</v>
      </c>
      <c r="D160" s="13">
        <f ca="1">IFERROR(__xludf.DUMMYFUNCTION("""COMPUTED_VALUE"""),380)</f>
        <v>380</v>
      </c>
      <c r="E160" s="13"/>
      <c r="F160" s="14" t="str">
        <f ca="1">IFERROR(__xludf.DUMMYFUNCTION("""COMPUTED_VALUE"""),"ту 14-1-205, НД, АТП, УзК, кован")</f>
        <v>ту 14-1-205, НД, АТП, УзК, кован</v>
      </c>
      <c r="G160" s="15">
        <f ca="1">IFERROR(__xludf.DUMMYFUNCTION("""COMPUTED_VALUE"""),2)</f>
        <v>2</v>
      </c>
      <c r="H160" s="15"/>
      <c r="I160" s="16">
        <f ca="1">IFERROR(__xludf.DUMMYFUNCTION("""COMPUTED_VALUE"""),900000)</f>
        <v>900000</v>
      </c>
    </row>
    <row r="161" spans="2:9" x14ac:dyDescent="0.3">
      <c r="B161" s="12" t="str">
        <f ca="1">IFERROR(__xludf.DUMMYFUNCTION("""COMPUTED_VALUE"""),"круг")</f>
        <v>круг</v>
      </c>
      <c r="C161" s="7" t="str">
        <f ca="1">IFERROR(__xludf.DUMMYFUNCTION("""COMPUTED_VALUE"""),"07Х16Н6 (ЭП288)")</f>
        <v>07Х16Н6 (ЭП288)</v>
      </c>
      <c r="D161" s="13">
        <f ca="1">IFERROR(__xludf.DUMMYFUNCTION("""COMPUTED_VALUE"""),400)</f>
        <v>400</v>
      </c>
      <c r="E161" s="13"/>
      <c r="F161" s="14" t="str">
        <f ca="1">IFERROR(__xludf.DUMMYFUNCTION("""COMPUTED_VALUE"""),"ту 14-1-205, НД, АТП, УзК, кован")</f>
        <v>ту 14-1-205, НД, АТП, УзК, кован</v>
      </c>
      <c r="G161" s="15">
        <f ca="1">IFERROR(__xludf.DUMMYFUNCTION("""COMPUTED_VALUE"""),2.5)</f>
        <v>2.5</v>
      </c>
      <c r="H161" s="15"/>
      <c r="I161" s="16">
        <f ca="1">IFERROR(__xludf.DUMMYFUNCTION("""COMPUTED_VALUE"""),900000)</f>
        <v>900000</v>
      </c>
    </row>
    <row r="162" spans="2:9" x14ac:dyDescent="0.3">
      <c r="B162" s="12" t="str">
        <f ca="1">IFERROR(__xludf.DUMMYFUNCTION("""COMPUTED_VALUE"""),"круг")</f>
        <v>круг</v>
      </c>
      <c r="C162" s="7" t="str">
        <f ca="1">IFERROR(__xludf.DUMMYFUNCTION("""COMPUTED_VALUE"""),"07Х16Н6 (ЭП288)")</f>
        <v>07Х16Н6 (ЭП288)</v>
      </c>
      <c r="D162" s="13">
        <f ca="1">IFERROR(__xludf.DUMMYFUNCTION("""COMPUTED_VALUE"""),420)</f>
        <v>420</v>
      </c>
      <c r="E162" s="13"/>
      <c r="F162" s="14" t="str">
        <f ca="1">IFERROR(__xludf.DUMMYFUNCTION("""COMPUTED_VALUE"""),"ту 14-1-205, НД, АТП, УзК, кован")</f>
        <v>ту 14-1-205, НД, АТП, УзК, кован</v>
      </c>
      <c r="G162" s="15">
        <f ca="1">IFERROR(__xludf.DUMMYFUNCTION("""COMPUTED_VALUE"""),3)</f>
        <v>3</v>
      </c>
      <c r="H162" s="15"/>
      <c r="I162" s="16">
        <f ca="1">IFERROR(__xludf.DUMMYFUNCTION("""COMPUTED_VALUE"""),900000)</f>
        <v>900000</v>
      </c>
    </row>
    <row r="163" spans="2:9" x14ac:dyDescent="0.3">
      <c r="B163" s="12" t="str">
        <f ca="1">IFERROR(__xludf.DUMMYFUNCTION("""COMPUTED_VALUE"""),"круг")</f>
        <v>круг</v>
      </c>
      <c r="C163" s="7" t="str">
        <f ca="1">IFERROR(__xludf.DUMMYFUNCTION("""COMPUTED_VALUE"""),"07Х16Н6 (ЭП288)")</f>
        <v>07Х16Н6 (ЭП288)</v>
      </c>
      <c r="D163" s="13">
        <f ca="1">IFERROR(__xludf.DUMMYFUNCTION("""COMPUTED_VALUE"""),450)</f>
        <v>450</v>
      </c>
      <c r="E163" s="13"/>
      <c r="F163" s="14" t="str">
        <f ca="1">IFERROR(__xludf.DUMMYFUNCTION("""COMPUTED_VALUE"""),"ту 14-1-205, НД, АТП, УзК, кован")</f>
        <v>ту 14-1-205, НД, АТП, УзК, кован</v>
      </c>
      <c r="G163" s="15">
        <f ca="1">IFERROR(__xludf.DUMMYFUNCTION("""COMPUTED_VALUE"""),3)</f>
        <v>3</v>
      </c>
      <c r="H163" s="15"/>
      <c r="I163" s="16">
        <f ca="1">IFERROR(__xludf.DUMMYFUNCTION("""COMPUTED_VALUE"""),900000)</f>
        <v>900000</v>
      </c>
    </row>
    <row r="164" spans="2:9" x14ac:dyDescent="0.3">
      <c r="B164" s="12" t="str">
        <f ca="1">IFERROR(__xludf.DUMMYFUNCTION("""COMPUTED_VALUE"""),"круг")</f>
        <v>круг</v>
      </c>
      <c r="C164" s="7" t="str">
        <f ca="1">IFERROR(__xludf.DUMMYFUNCTION("""COMPUTED_VALUE"""),"07Х16Н6 (ЭП288)")</f>
        <v>07Х16Н6 (ЭП288)</v>
      </c>
      <c r="D164" s="13">
        <f ca="1">IFERROR(__xludf.DUMMYFUNCTION("""COMPUTED_VALUE"""),500)</f>
        <v>500</v>
      </c>
      <c r="E164" s="13"/>
      <c r="F164" s="14" t="str">
        <f ca="1">IFERROR(__xludf.DUMMYFUNCTION("""COMPUTED_VALUE"""),"ту 14-1-205, НД, АТП, УзК, кован")</f>
        <v>ту 14-1-205, НД, АТП, УзК, кован</v>
      </c>
      <c r="G164" s="15">
        <f ca="1">IFERROR(__xludf.DUMMYFUNCTION("""COMPUTED_VALUE"""),3)</f>
        <v>3</v>
      </c>
      <c r="H164" s="15"/>
      <c r="I164" s="16">
        <f ca="1">IFERROR(__xludf.DUMMYFUNCTION("""COMPUTED_VALUE"""),900000)</f>
        <v>900000</v>
      </c>
    </row>
    <row r="165" spans="2:9" x14ac:dyDescent="0.3">
      <c r="B165" s="12" t="str">
        <f ca="1">IFERROR(__xludf.DUMMYFUNCTION("""COMPUTED_VALUE"""),"круг")</f>
        <v>круг</v>
      </c>
      <c r="C165" s="7" t="str">
        <f ca="1">IFERROR(__xludf.DUMMYFUNCTION("""COMPUTED_VALUE"""),"07х16н4Б")</f>
        <v>07х16н4Б</v>
      </c>
      <c r="D165" s="13">
        <f ca="1">IFERROR(__xludf.DUMMYFUNCTION("""COMPUTED_VALUE"""),10)</f>
        <v>10</v>
      </c>
      <c r="E165" s="13"/>
      <c r="F165" s="14" t="str">
        <f ca="1">IFERROR(__xludf.DUMMYFUNCTION("""COMPUTED_VALUE"""),"ту 14-1-3573-83, 2гп ")</f>
        <v xml:space="preserve">ту 14-1-3573-83, 2гп </v>
      </c>
      <c r="G165" s="15">
        <f ca="1">IFERROR(__xludf.DUMMYFUNCTION("""COMPUTED_VALUE"""),0.444)</f>
        <v>0.44400000000000001</v>
      </c>
      <c r="H165" s="15"/>
      <c r="I165" s="16">
        <f ca="1">IFERROR(__xludf.DUMMYFUNCTION("""COMPUTED_VALUE"""),900000)</f>
        <v>900000</v>
      </c>
    </row>
    <row r="166" spans="2:9" x14ac:dyDescent="0.3">
      <c r="B166" s="12" t="str">
        <f ca="1">IFERROR(__xludf.DUMMYFUNCTION("""COMPUTED_VALUE"""),"круг")</f>
        <v>круг</v>
      </c>
      <c r="C166" s="7" t="str">
        <f ca="1">IFERROR(__xludf.DUMMYFUNCTION("""COMPUTED_VALUE"""),"07х16н4Б")</f>
        <v>07х16н4Б</v>
      </c>
      <c r="D166" s="13">
        <f ca="1">IFERROR(__xludf.DUMMYFUNCTION("""COMPUTED_VALUE"""),10)</f>
        <v>10</v>
      </c>
      <c r="E166" s="13"/>
      <c r="F166" s="14" t="str">
        <f ca="1">IFERROR(__xludf.DUMMYFUNCTION("""COMPUTED_VALUE"""),"ту 14-1-3573-83, 2гп ")</f>
        <v xml:space="preserve">ту 14-1-3573-83, 2гп </v>
      </c>
      <c r="G166" s="15">
        <f ca="1">IFERROR(__xludf.DUMMYFUNCTION("""COMPUTED_VALUE"""),0.326)</f>
        <v>0.32600000000000001</v>
      </c>
      <c r="H166" s="15"/>
      <c r="I166" s="16">
        <f ca="1">IFERROR(__xludf.DUMMYFUNCTION("""COMPUTED_VALUE"""),900000)</f>
        <v>900000</v>
      </c>
    </row>
    <row r="167" spans="2:9" x14ac:dyDescent="0.3">
      <c r="B167" s="12" t="str">
        <f ca="1">IFERROR(__xludf.DUMMYFUNCTION("""COMPUTED_VALUE"""),"круг")</f>
        <v>круг</v>
      </c>
      <c r="C167" s="7" t="str">
        <f ca="1">IFERROR(__xludf.DUMMYFUNCTION("""COMPUTED_VALUE"""),"07х16н4Б")</f>
        <v>07х16н4Б</v>
      </c>
      <c r="D167" s="13">
        <f ca="1">IFERROR(__xludf.DUMMYFUNCTION("""COMPUTED_VALUE"""),10)</f>
        <v>10</v>
      </c>
      <c r="E167" s="13"/>
      <c r="F167" s="14" t="str">
        <f ca="1">IFERROR(__xludf.DUMMYFUNCTION("""COMPUTED_VALUE"""),"ту 14-1-3573-83, 2гп ")</f>
        <v xml:space="preserve">ту 14-1-3573-83, 2гп </v>
      </c>
      <c r="G167" s="15">
        <f ca="1">IFERROR(__xludf.DUMMYFUNCTION("""COMPUTED_VALUE"""),0.178)</f>
        <v>0.17799999999999999</v>
      </c>
      <c r="H167" s="15"/>
      <c r="I167" s="16">
        <f ca="1">IFERROR(__xludf.DUMMYFUNCTION("""COMPUTED_VALUE"""),900000)</f>
        <v>900000</v>
      </c>
    </row>
    <row r="168" spans="2:9" x14ac:dyDescent="0.3">
      <c r="B168" s="12" t="str">
        <f ca="1">IFERROR(__xludf.DUMMYFUNCTION("""COMPUTED_VALUE"""),"круг")</f>
        <v>круг</v>
      </c>
      <c r="C168" s="7" t="str">
        <f ca="1">IFERROR(__xludf.DUMMYFUNCTION("""COMPUTED_VALUE"""),"07х16н4Б")</f>
        <v>07х16н4Б</v>
      </c>
      <c r="D168" s="13">
        <f ca="1">IFERROR(__xludf.DUMMYFUNCTION("""COMPUTED_VALUE"""),10)</f>
        <v>10</v>
      </c>
      <c r="E168" s="13"/>
      <c r="F168" s="14" t="str">
        <f ca="1">IFERROR(__xludf.DUMMYFUNCTION("""COMPUTED_VALUE"""),"ту 14-1-3573-83, 2гп ")</f>
        <v xml:space="preserve">ту 14-1-3573-83, 2гп </v>
      </c>
      <c r="G168" s="15">
        <f ca="1">IFERROR(__xludf.DUMMYFUNCTION("""COMPUTED_VALUE"""),1)</f>
        <v>1</v>
      </c>
      <c r="H168" s="15"/>
      <c r="I168" s="16">
        <f ca="1">IFERROR(__xludf.DUMMYFUNCTION("""COMPUTED_VALUE"""),850000)</f>
        <v>850000</v>
      </c>
    </row>
    <row r="169" spans="2:9" x14ac:dyDescent="0.3">
      <c r="B169" s="12" t="str">
        <f ca="1">IFERROR(__xludf.DUMMYFUNCTION("""COMPUTED_VALUE"""),"круг")</f>
        <v>круг</v>
      </c>
      <c r="C169" s="7" t="str">
        <f ca="1">IFERROR(__xludf.DUMMYFUNCTION("""COMPUTED_VALUE"""),"07х16н4Б")</f>
        <v>07х16н4Б</v>
      </c>
      <c r="D169" s="13">
        <f ca="1">IFERROR(__xludf.DUMMYFUNCTION("""COMPUTED_VALUE"""),12)</f>
        <v>12</v>
      </c>
      <c r="E169" s="13"/>
      <c r="F169" s="14" t="str">
        <f ca="1">IFERROR(__xludf.DUMMYFUNCTION("""COMPUTED_VALUE"""),"ту 14-1-3573-83, 2гп ")</f>
        <v xml:space="preserve">ту 14-1-3573-83, 2гп </v>
      </c>
      <c r="G169" s="15">
        <f ca="1">IFERROR(__xludf.DUMMYFUNCTION("""COMPUTED_VALUE"""),0.263999999999999)</f>
        <v>0.26399999999999901</v>
      </c>
      <c r="H169" s="15"/>
      <c r="I169" s="16">
        <f ca="1">IFERROR(__xludf.DUMMYFUNCTION("""COMPUTED_VALUE"""),850000)</f>
        <v>850000</v>
      </c>
    </row>
    <row r="170" spans="2:9" x14ac:dyDescent="0.3">
      <c r="B170" s="12" t="str">
        <f ca="1">IFERROR(__xludf.DUMMYFUNCTION("""COMPUTED_VALUE"""),"круг")</f>
        <v>круг</v>
      </c>
      <c r="C170" s="7" t="str">
        <f ca="1">IFERROR(__xludf.DUMMYFUNCTION("""COMPUTED_VALUE"""),"07х16н4Б")</f>
        <v>07х16н4Б</v>
      </c>
      <c r="D170" s="13">
        <f ca="1">IFERROR(__xludf.DUMMYFUNCTION("""COMPUTED_VALUE"""),12)</f>
        <v>12</v>
      </c>
      <c r="E170" s="13"/>
      <c r="F170" s="14" t="str">
        <f ca="1">IFERROR(__xludf.DUMMYFUNCTION("""COMPUTED_VALUE"""),"ту 14-1-3573-83, 2гп ")</f>
        <v xml:space="preserve">ту 14-1-3573-83, 2гп </v>
      </c>
      <c r="G170" s="15">
        <f ca="1">IFERROR(__xludf.DUMMYFUNCTION("""COMPUTED_VALUE"""),0.714)</f>
        <v>0.71399999999999997</v>
      </c>
      <c r="H170" s="15"/>
      <c r="I170" s="16">
        <f ca="1">IFERROR(__xludf.DUMMYFUNCTION("""COMPUTED_VALUE"""),850000)</f>
        <v>850000</v>
      </c>
    </row>
    <row r="171" spans="2:9" x14ac:dyDescent="0.3">
      <c r="B171" s="12" t="str">
        <f ca="1">IFERROR(__xludf.DUMMYFUNCTION("""COMPUTED_VALUE"""),"круг")</f>
        <v>круг</v>
      </c>
      <c r="C171" s="7" t="str">
        <f ca="1">IFERROR(__xludf.DUMMYFUNCTION("""COMPUTED_VALUE"""),"07х16н4Б")</f>
        <v>07х16н4Б</v>
      </c>
      <c r="D171" s="13">
        <f ca="1">IFERROR(__xludf.DUMMYFUNCTION("""COMPUTED_VALUE"""),15)</f>
        <v>15</v>
      </c>
      <c r="E171" s="13"/>
      <c r="F171" s="14" t="str">
        <f ca="1">IFERROR(__xludf.DUMMYFUNCTION("""COMPUTED_VALUE"""),"ту 14-1-3573-83, 3гп РТТ")</f>
        <v>ту 14-1-3573-83, 3гп РТТ</v>
      </c>
      <c r="G171" s="15">
        <f ca="1">IFERROR(__xludf.DUMMYFUNCTION("""COMPUTED_VALUE"""),0.433)</f>
        <v>0.433</v>
      </c>
      <c r="H171" s="15"/>
      <c r="I171" s="16">
        <f ca="1">IFERROR(__xludf.DUMMYFUNCTION("""COMPUTED_VALUE"""),900000)</f>
        <v>900000</v>
      </c>
    </row>
    <row r="172" spans="2:9" x14ac:dyDescent="0.3">
      <c r="B172" s="12" t="str">
        <f ca="1">IFERROR(__xludf.DUMMYFUNCTION("""COMPUTED_VALUE"""),"круг")</f>
        <v>круг</v>
      </c>
      <c r="C172" s="7" t="str">
        <f ca="1">IFERROR(__xludf.DUMMYFUNCTION("""COMPUTED_VALUE"""),"07х16н4Б")</f>
        <v>07х16н4Б</v>
      </c>
      <c r="D172" s="13">
        <f ca="1">IFERROR(__xludf.DUMMYFUNCTION("""COMPUTED_VALUE"""),18)</f>
        <v>18</v>
      </c>
      <c r="E172" s="13"/>
      <c r="F172" s="14" t="str">
        <f ca="1">IFERROR(__xludf.DUMMYFUNCTION("""COMPUTED_VALUE"""),"ту 14-1-3573-83, 2гп РТТ")</f>
        <v>ту 14-1-3573-83, 2гп РТТ</v>
      </c>
      <c r="G172" s="15">
        <f ca="1">IFERROR(__xludf.DUMMYFUNCTION("""COMPUTED_VALUE"""),0.254)</f>
        <v>0.254</v>
      </c>
      <c r="H172" s="15"/>
      <c r="I172" s="16">
        <f ca="1">IFERROR(__xludf.DUMMYFUNCTION("""COMPUTED_VALUE"""),900000)</f>
        <v>900000</v>
      </c>
    </row>
    <row r="173" spans="2:9" x14ac:dyDescent="0.3">
      <c r="B173" s="12" t="str">
        <f ca="1">IFERROR(__xludf.DUMMYFUNCTION("""COMPUTED_VALUE"""),"круг")</f>
        <v>круг</v>
      </c>
      <c r="C173" s="7" t="str">
        <f ca="1">IFERROR(__xludf.DUMMYFUNCTION("""COMPUTED_VALUE"""),"07х16н4Б")</f>
        <v>07х16н4Б</v>
      </c>
      <c r="D173" s="13">
        <f ca="1">IFERROR(__xludf.DUMMYFUNCTION("""COMPUTED_VALUE"""),18)</f>
        <v>18</v>
      </c>
      <c r="E173" s="13"/>
      <c r="F173" s="14" t="str">
        <f ca="1">IFERROR(__xludf.DUMMYFUNCTION("""COMPUTED_VALUE"""),"ту 14-1-3573-83, 2гп ")</f>
        <v xml:space="preserve">ту 14-1-3573-83, 2гп </v>
      </c>
      <c r="G173" s="15">
        <f ca="1">IFERROR(__xludf.DUMMYFUNCTION("""COMPUTED_VALUE"""),0.178)</f>
        <v>0.17799999999999999</v>
      </c>
      <c r="H173" s="15"/>
      <c r="I173" s="16">
        <f ca="1">IFERROR(__xludf.DUMMYFUNCTION("""COMPUTED_VALUE"""),850000)</f>
        <v>850000</v>
      </c>
    </row>
    <row r="174" spans="2:9" x14ac:dyDescent="0.3">
      <c r="B174" s="12" t="str">
        <f ca="1">IFERROR(__xludf.DUMMYFUNCTION("""COMPUTED_VALUE"""),"круг")</f>
        <v>круг</v>
      </c>
      <c r="C174" s="7" t="str">
        <f ca="1">IFERROR(__xludf.DUMMYFUNCTION("""COMPUTED_VALUE"""),"07х16н4Б")</f>
        <v>07х16н4Б</v>
      </c>
      <c r="D174" s="13">
        <f ca="1">IFERROR(__xludf.DUMMYFUNCTION("""COMPUTED_VALUE"""),18)</f>
        <v>18</v>
      </c>
      <c r="E174" s="13"/>
      <c r="F174" s="14" t="str">
        <f ca="1">IFERROR(__xludf.DUMMYFUNCTION("""COMPUTED_VALUE"""),"ту 14-1-3573-83, 2гп ")</f>
        <v xml:space="preserve">ту 14-1-3573-83, 2гп </v>
      </c>
      <c r="G174" s="15">
        <f ca="1">IFERROR(__xludf.DUMMYFUNCTION("""COMPUTED_VALUE"""),0.33)</f>
        <v>0.33</v>
      </c>
      <c r="H174" s="15"/>
      <c r="I174" s="16">
        <f ca="1">IFERROR(__xludf.DUMMYFUNCTION("""COMPUTED_VALUE"""),850000)</f>
        <v>850000</v>
      </c>
    </row>
    <row r="175" spans="2:9" x14ac:dyDescent="0.3">
      <c r="B175" s="12" t="str">
        <f ca="1">IFERROR(__xludf.DUMMYFUNCTION("""COMPUTED_VALUE"""),"круг")</f>
        <v>круг</v>
      </c>
      <c r="C175" s="7" t="str">
        <f ca="1">IFERROR(__xludf.DUMMYFUNCTION("""COMPUTED_VALUE"""),"07х16н4Б")</f>
        <v>07х16н4Б</v>
      </c>
      <c r="D175" s="13">
        <f ca="1">IFERROR(__xludf.DUMMYFUNCTION("""COMPUTED_VALUE"""),18)</f>
        <v>18</v>
      </c>
      <c r="E175" s="13"/>
      <c r="F175" s="14" t="str">
        <f ca="1">IFERROR(__xludf.DUMMYFUNCTION("""COMPUTED_VALUE"""),"ту 14-1-3573-83, 2гп ")</f>
        <v xml:space="preserve">ту 14-1-3573-83, 2гп </v>
      </c>
      <c r="G175" s="15">
        <f ca="1">IFERROR(__xludf.DUMMYFUNCTION("""COMPUTED_VALUE"""),0.992)</f>
        <v>0.99199999999999999</v>
      </c>
      <c r="H175" s="15"/>
      <c r="I175" s="16">
        <f ca="1">IFERROR(__xludf.DUMMYFUNCTION("""COMPUTED_VALUE"""),850000)</f>
        <v>850000</v>
      </c>
    </row>
    <row r="176" spans="2:9" x14ac:dyDescent="0.3">
      <c r="B176" s="12" t="str">
        <f ca="1">IFERROR(__xludf.DUMMYFUNCTION("""COMPUTED_VALUE"""),"круг")</f>
        <v>круг</v>
      </c>
      <c r="C176" s="7" t="str">
        <f ca="1">IFERROR(__xludf.DUMMYFUNCTION("""COMPUTED_VALUE"""),"07х16н4Б")</f>
        <v>07х16н4Б</v>
      </c>
      <c r="D176" s="13">
        <f ca="1">IFERROR(__xludf.DUMMYFUNCTION("""COMPUTED_VALUE"""),20)</f>
        <v>20</v>
      </c>
      <c r="E176" s="13"/>
      <c r="F176" s="14" t="str">
        <f ca="1">IFERROR(__xludf.DUMMYFUNCTION("""COMPUTED_VALUE"""),"ту 14-1-3573-83, 2гп РТТ")</f>
        <v>ту 14-1-3573-83, 2гп РТТ</v>
      </c>
      <c r="G176" s="15">
        <f ca="1">IFERROR(__xludf.DUMMYFUNCTION("""COMPUTED_VALUE"""),0.065)</f>
        <v>6.5000000000000002E-2</v>
      </c>
      <c r="H176" s="15"/>
      <c r="I176" s="16">
        <f ca="1">IFERROR(__xludf.DUMMYFUNCTION("""COMPUTED_VALUE"""),900000)</f>
        <v>900000</v>
      </c>
    </row>
    <row r="177" spans="2:9" x14ac:dyDescent="0.3">
      <c r="B177" s="12" t="str">
        <f ca="1">IFERROR(__xludf.DUMMYFUNCTION("""COMPUTED_VALUE"""),"круг")</f>
        <v>круг</v>
      </c>
      <c r="C177" s="7" t="str">
        <f ca="1">IFERROR(__xludf.DUMMYFUNCTION("""COMPUTED_VALUE"""),"07х16н4Б")</f>
        <v>07х16н4Б</v>
      </c>
      <c r="D177" s="13">
        <f ca="1">IFERROR(__xludf.DUMMYFUNCTION("""COMPUTED_VALUE"""),20)</f>
        <v>20</v>
      </c>
      <c r="E177" s="13"/>
      <c r="F177" s="14" t="str">
        <f ca="1">IFERROR(__xludf.DUMMYFUNCTION("""COMPUTED_VALUE"""),"ту 14-1-3573-83, 2гп РТТ ")</f>
        <v xml:space="preserve">ту 14-1-3573-83, 2гп РТТ </v>
      </c>
      <c r="G177" s="15">
        <f ca="1">IFERROR(__xludf.DUMMYFUNCTION("""COMPUTED_VALUE"""),0.24)</f>
        <v>0.24</v>
      </c>
      <c r="H177" s="15"/>
      <c r="I177" s="16">
        <f ca="1">IFERROR(__xludf.DUMMYFUNCTION("""COMPUTED_VALUE"""),900000)</f>
        <v>900000</v>
      </c>
    </row>
    <row r="178" spans="2:9" x14ac:dyDescent="0.3">
      <c r="B178" s="12" t="str">
        <f ca="1">IFERROR(__xludf.DUMMYFUNCTION("""COMPUTED_VALUE"""),"круг")</f>
        <v>круг</v>
      </c>
      <c r="C178" s="7" t="str">
        <f ca="1">IFERROR(__xludf.DUMMYFUNCTION("""COMPUTED_VALUE"""),"07х16н4Б")</f>
        <v>07х16н4Б</v>
      </c>
      <c r="D178" s="13">
        <f ca="1">IFERROR(__xludf.DUMMYFUNCTION("""COMPUTED_VALUE"""),20)</f>
        <v>20</v>
      </c>
      <c r="E178" s="13"/>
      <c r="F178" s="14" t="str">
        <f ca="1">IFERROR(__xludf.DUMMYFUNCTION("""COMPUTED_VALUE"""),"ту 14-1-3573-83, 2гп РТТ")</f>
        <v>ту 14-1-3573-83, 2гп РТТ</v>
      </c>
      <c r="G178" s="15">
        <f ca="1">IFERROR(__xludf.DUMMYFUNCTION("""COMPUTED_VALUE"""),0.046)</f>
        <v>4.5999999999999999E-2</v>
      </c>
      <c r="H178" s="15"/>
      <c r="I178" s="16">
        <f ca="1">IFERROR(__xludf.DUMMYFUNCTION("""COMPUTED_VALUE"""),900000)</f>
        <v>900000</v>
      </c>
    </row>
    <row r="179" spans="2:9" x14ac:dyDescent="0.3">
      <c r="B179" s="12" t="str">
        <f ca="1">IFERROR(__xludf.DUMMYFUNCTION("""COMPUTED_VALUE"""),"круг")</f>
        <v>круг</v>
      </c>
      <c r="C179" s="7" t="str">
        <f ca="1">IFERROR(__xludf.DUMMYFUNCTION("""COMPUTED_VALUE"""),"07х16н4Б")</f>
        <v>07х16н4Б</v>
      </c>
      <c r="D179" s="13">
        <f ca="1">IFERROR(__xludf.DUMMYFUNCTION("""COMPUTED_VALUE"""),20)</f>
        <v>20</v>
      </c>
      <c r="E179" s="13"/>
      <c r="F179" s="14" t="str">
        <f ca="1">IFERROR(__xludf.DUMMYFUNCTION("""COMPUTED_VALUE"""),"ту 14-1-3573-83, 2гп РТТ")</f>
        <v>ту 14-1-3573-83, 2гп РТТ</v>
      </c>
      <c r="G179" s="15">
        <f ca="1">IFERROR(__xludf.DUMMYFUNCTION("""COMPUTED_VALUE"""),0.08)</f>
        <v>0.08</v>
      </c>
      <c r="H179" s="15"/>
      <c r="I179" s="16">
        <f ca="1">IFERROR(__xludf.DUMMYFUNCTION("""COMPUTED_VALUE"""),900000)</f>
        <v>900000</v>
      </c>
    </row>
    <row r="180" spans="2:9" x14ac:dyDescent="0.3">
      <c r="B180" s="12" t="str">
        <f ca="1">IFERROR(__xludf.DUMMYFUNCTION("""COMPUTED_VALUE"""),"круг")</f>
        <v>круг</v>
      </c>
      <c r="C180" s="7" t="str">
        <f ca="1">IFERROR(__xludf.DUMMYFUNCTION("""COMPUTED_VALUE"""),"07х16н4Б")</f>
        <v>07х16н4Б</v>
      </c>
      <c r="D180" s="13">
        <f ca="1">IFERROR(__xludf.DUMMYFUNCTION("""COMPUTED_VALUE"""),20)</f>
        <v>20</v>
      </c>
      <c r="E180" s="13"/>
      <c r="F180" s="14" t="str">
        <f ca="1">IFERROR(__xludf.DUMMYFUNCTION("""COMPUTED_VALUE"""),"ту 14-1-3573-83, 2гп РТТ")</f>
        <v>ту 14-1-3573-83, 2гп РТТ</v>
      </c>
      <c r="G180" s="15">
        <f ca="1">IFERROR(__xludf.DUMMYFUNCTION("""COMPUTED_VALUE"""),0.224)</f>
        <v>0.224</v>
      </c>
      <c r="H180" s="15"/>
      <c r="I180" s="16">
        <f ca="1">IFERROR(__xludf.DUMMYFUNCTION("""COMPUTED_VALUE"""),900000)</f>
        <v>900000</v>
      </c>
    </row>
    <row r="181" spans="2:9" x14ac:dyDescent="0.3">
      <c r="B181" s="12" t="str">
        <f ca="1">IFERROR(__xludf.DUMMYFUNCTION("""COMPUTED_VALUE"""),"круг")</f>
        <v>круг</v>
      </c>
      <c r="C181" s="7" t="str">
        <f ca="1">IFERROR(__xludf.DUMMYFUNCTION("""COMPUTED_VALUE"""),"07х16н4Б")</f>
        <v>07х16н4Б</v>
      </c>
      <c r="D181" s="13">
        <f ca="1">IFERROR(__xludf.DUMMYFUNCTION("""COMPUTED_VALUE"""),20)</f>
        <v>20</v>
      </c>
      <c r="E181" s="13"/>
      <c r="F181" s="14" t="str">
        <f ca="1">IFERROR(__xludf.DUMMYFUNCTION("""COMPUTED_VALUE"""),"ту 14-1-3573-83, 2гп РТТ")</f>
        <v>ту 14-1-3573-83, 2гп РТТ</v>
      </c>
      <c r="G181" s="15">
        <f ca="1">IFERROR(__xludf.DUMMYFUNCTION("""COMPUTED_VALUE"""),0.65)</f>
        <v>0.65</v>
      </c>
      <c r="H181" s="15"/>
      <c r="I181" s="16">
        <f ca="1">IFERROR(__xludf.DUMMYFUNCTION("""COMPUTED_VALUE"""),900000)</f>
        <v>900000</v>
      </c>
    </row>
    <row r="182" spans="2:9" x14ac:dyDescent="0.3">
      <c r="B182" s="12" t="str">
        <f ca="1">IFERROR(__xludf.DUMMYFUNCTION("""COMPUTED_VALUE"""),"круг")</f>
        <v>круг</v>
      </c>
      <c r="C182" s="7" t="str">
        <f ca="1">IFERROR(__xludf.DUMMYFUNCTION("""COMPUTED_VALUE"""),"07х16н4Б")</f>
        <v>07х16н4Б</v>
      </c>
      <c r="D182" s="13">
        <f ca="1">IFERROR(__xludf.DUMMYFUNCTION("""COMPUTED_VALUE"""),25)</f>
        <v>25</v>
      </c>
      <c r="E182" s="13"/>
      <c r="F182" s="14" t="str">
        <f ca="1">IFERROR(__xludf.DUMMYFUNCTION("""COMPUTED_VALUE"""),"ту 14-1-3573-83, 2гп ")</f>
        <v xml:space="preserve">ту 14-1-3573-83, 2гп </v>
      </c>
      <c r="G182" s="15">
        <f ca="1">IFERROR(__xludf.DUMMYFUNCTION("""COMPUTED_VALUE"""),0.0229999999999996)</f>
        <v>2.2999999999999601E-2</v>
      </c>
      <c r="H182" s="15"/>
      <c r="I182" s="16">
        <f ca="1">IFERROR(__xludf.DUMMYFUNCTION("""COMPUTED_VALUE"""),900000)</f>
        <v>900000</v>
      </c>
    </row>
    <row r="183" spans="2:9" x14ac:dyDescent="0.3">
      <c r="B183" s="12" t="str">
        <f ca="1">IFERROR(__xludf.DUMMYFUNCTION("""COMPUTED_VALUE"""),"круг")</f>
        <v>круг</v>
      </c>
      <c r="C183" s="7" t="str">
        <f ca="1">IFERROR(__xludf.DUMMYFUNCTION("""COMPUTED_VALUE"""),"07х16н4Б")</f>
        <v>07х16н4Б</v>
      </c>
      <c r="D183" s="13">
        <f ca="1">IFERROR(__xludf.DUMMYFUNCTION("""COMPUTED_VALUE"""),25)</f>
        <v>25</v>
      </c>
      <c r="E183" s="13"/>
      <c r="F183" s="14" t="str">
        <f ca="1">IFERROR(__xludf.DUMMYFUNCTION("""COMPUTED_VALUE"""),"ту 14-1-3573-83, 2гп ")</f>
        <v xml:space="preserve">ту 14-1-3573-83, 2гп </v>
      </c>
      <c r="G183" s="15">
        <f ca="1">IFERROR(__xludf.DUMMYFUNCTION("""COMPUTED_VALUE"""),0.398)</f>
        <v>0.39800000000000002</v>
      </c>
      <c r="H183" s="15"/>
      <c r="I183" s="16">
        <f ca="1">IFERROR(__xludf.DUMMYFUNCTION("""COMPUTED_VALUE"""),900000)</f>
        <v>900000</v>
      </c>
    </row>
    <row r="184" spans="2:9" x14ac:dyDescent="0.3">
      <c r="B184" s="12" t="str">
        <f ca="1">IFERROR(__xludf.DUMMYFUNCTION("""COMPUTED_VALUE"""),"круг")</f>
        <v>круг</v>
      </c>
      <c r="C184" s="7" t="str">
        <f ca="1">IFERROR(__xludf.DUMMYFUNCTION("""COMPUTED_VALUE"""),"07х16н4Б")</f>
        <v>07х16н4Б</v>
      </c>
      <c r="D184" s="13">
        <f ca="1">IFERROR(__xludf.DUMMYFUNCTION("""COMPUTED_VALUE"""),30)</f>
        <v>30</v>
      </c>
      <c r="E184" s="13"/>
      <c r="F184" s="14" t="str">
        <f ca="1">IFERROR(__xludf.DUMMYFUNCTION("""COMPUTED_VALUE"""),"ту 14-1-3573-83, 2гп УЗК, контроль Со")</f>
        <v>ту 14-1-3573-83, 2гп УЗК, контроль Со</v>
      </c>
      <c r="G184" s="15">
        <f ca="1">IFERROR(__xludf.DUMMYFUNCTION("""COMPUTED_VALUE"""),0.0209999999999999)</f>
        <v>2.0999999999999901E-2</v>
      </c>
      <c r="H184" s="15"/>
      <c r="I184" s="16">
        <f ca="1">IFERROR(__xludf.DUMMYFUNCTION("""COMPUTED_VALUE"""),900000)</f>
        <v>900000</v>
      </c>
    </row>
    <row r="185" spans="2:9" x14ac:dyDescent="0.3">
      <c r="B185" s="12" t="str">
        <f ca="1">IFERROR(__xludf.DUMMYFUNCTION("""COMPUTED_VALUE"""),"круг")</f>
        <v>круг</v>
      </c>
      <c r="C185" s="7" t="str">
        <f ca="1">IFERROR(__xludf.DUMMYFUNCTION("""COMPUTED_VALUE"""),"07х16н4Б-Ш")</f>
        <v>07х16н4Б-Ш</v>
      </c>
      <c r="D185" s="13">
        <f ca="1">IFERROR(__xludf.DUMMYFUNCTION("""COMPUTED_VALUE"""),30)</f>
        <v>30</v>
      </c>
      <c r="E185" s="13"/>
      <c r="F185" s="14" t="str">
        <f ca="1">IFERROR(__xludf.DUMMYFUNCTION("""COMPUTED_VALUE"""),"ту 14-1-3573-83, 2гп , УЗК РТТ")</f>
        <v>ту 14-1-3573-83, 2гп , УЗК РТТ</v>
      </c>
      <c r="G185" s="15">
        <f ca="1">IFERROR(__xludf.DUMMYFUNCTION("""COMPUTED_VALUE"""),0.099)</f>
        <v>9.9000000000000005E-2</v>
      </c>
      <c r="H185" s="15"/>
      <c r="I185" s="16">
        <f ca="1">IFERROR(__xludf.DUMMYFUNCTION("""COMPUTED_VALUE"""),1100000)</f>
        <v>1100000</v>
      </c>
    </row>
    <row r="186" spans="2:9" x14ac:dyDescent="0.3">
      <c r="B186" s="12" t="str">
        <f ca="1">IFERROR(__xludf.DUMMYFUNCTION("""COMPUTED_VALUE"""),"круг")</f>
        <v>круг</v>
      </c>
      <c r="C186" s="7" t="str">
        <f ca="1">IFERROR(__xludf.DUMMYFUNCTION("""COMPUTED_VALUE"""),"07х16н4Б")</f>
        <v>07х16н4Б</v>
      </c>
      <c r="D186" s="13">
        <f ca="1">IFERROR(__xludf.DUMMYFUNCTION("""COMPUTED_VALUE"""),30)</f>
        <v>30</v>
      </c>
      <c r="E186" s="13"/>
      <c r="F186" s="14" t="str">
        <f ca="1">IFERROR(__xludf.DUMMYFUNCTION("""COMPUTED_VALUE"""),"ту 14-1-3573-83, 2гп ")</f>
        <v xml:space="preserve">ту 14-1-3573-83, 2гп </v>
      </c>
      <c r="G186" s="15">
        <f ca="1">IFERROR(__xludf.DUMMYFUNCTION("""COMPUTED_VALUE"""),1.138)</f>
        <v>1.1379999999999999</v>
      </c>
      <c r="H186" s="15"/>
      <c r="I186" s="16">
        <f ca="1">IFERROR(__xludf.DUMMYFUNCTION("""COMPUTED_VALUE"""),820000)</f>
        <v>820000</v>
      </c>
    </row>
    <row r="187" spans="2:9" x14ac:dyDescent="0.3">
      <c r="B187" s="12" t="str">
        <f ca="1">IFERROR(__xludf.DUMMYFUNCTION("""COMPUTED_VALUE"""),"круг")</f>
        <v>круг</v>
      </c>
      <c r="C187" s="7" t="str">
        <f ca="1">IFERROR(__xludf.DUMMYFUNCTION("""COMPUTED_VALUE"""),"07х16н4Б")</f>
        <v>07х16н4Б</v>
      </c>
      <c r="D187" s="13">
        <f ca="1">IFERROR(__xludf.DUMMYFUNCTION("""COMPUTED_VALUE"""),36)</f>
        <v>36</v>
      </c>
      <c r="E187" s="13"/>
      <c r="F187" s="14" t="str">
        <f ca="1">IFERROR(__xludf.DUMMYFUNCTION("""COMPUTED_VALUE"""),"ту 14-1-3573-83, 2гп ")</f>
        <v xml:space="preserve">ту 14-1-3573-83, 2гп </v>
      </c>
      <c r="G187" s="15">
        <f ca="1">IFERROR(__xludf.DUMMYFUNCTION("""COMPUTED_VALUE"""),0.481)</f>
        <v>0.48099999999999998</v>
      </c>
      <c r="H187" s="15"/>
      <c r="I187" s="16">
        <f ca="1">IFERROR(__xludf.DUMMYFUNCTION("""COMPUTED_VALUE"""),870000)</f>
        <v>870000</v>
      </c>
    </row>
    <row r="188" spans="2:9" x14ac:dyDescent="0.3">
      <c r="B188" s="12" t="str">
        <f ca="1">IFERROR(__xludf.DUMMYFUNCTION("""COMPUTED_VALUE"""),"круг")</f>
        <v>круг</v>
      </c>
      <c r="C188" s="7" t="str">
        <f ca="1">IFERROR(__xludf.DUMMYFUNCTION("""COMPUTED_VALUE"""),"07х16н4Б")</f>
        <v>07х16н4Б</v>
      </c>
      <c r="D188" s="13">
        <f ca="1">IFERROR(__xludf.DUMMYFUNCTION("""COMPUTED_VALUE"""),36)</f>
        <v>36</v>
      </c>
      <c r="E188" s="13"/>
      <c r="F188" s="14" t="str">
        <f ca="1">IFERROR(__xludf.DUMMYFUNCTION("""COMPUTED_VALUE"""),"ту 14-1-3573-83, 2гп ")</f>
        <v xml:space="preserve">ту 14-1-3573-83, 2гп </v>
      </c>
      <c r="G188" s="15">
        <f ca="1">IFERROR(__xludf.DUMMYFUNCTION("""COMPUTED_VALUE"""),0.912)</f>
        <v>0.91200000000000003</v>
      </c>
      <c r="H188" s="15"/>
      <c r="I188" s="16">
        <f ca="1">IFERROR(__xludf.DUMMYFUNCTION("""COMPUTED_VALUE"""),870000)</f>
        <v>870000</v>
      </c>
    </row>
    <row r="189" spans="2:9" x14ac:dyDescent="0.3">
      <c r="B189" s="12" t="str">
        <f ca="1">IFERROR(__xludf.DUMMYFUNCTION("""COMPUTED_VALUE"""),"круг")</f>
        <v>круг</v>
      </c>
      <c r="C189" s="7" t="str">
        <f ca="1">IFERROR(__xludf.DUMMYFUNCTION("""COMPUTED_VALUE"""),"07х16н4Б")</f>
        <v>07х16н4Б</v>
      </c>
      <c r="D189" s="13">
        <f ca="1">IFERROR(__xludf.DUMMYFUNCTION("""COMPUTED_VALUE"""),36)</f>
        <v>36</v>
      </c>
      <c r="E189" s="13"/>
      <c r="F189" s="14" t="str">
        <f ca="1">IFERROR(__xludf.DUMMYFUNCTION("""COMPUTED_VALUE"""),"ту 14-1-3573-83, 2гп ")</f>
        <v xml:space="preserve">ту 14-1-3573-83, 2гп </v>
      </c>
      <c r="G189" s="15">
        <f ca="1">IFERROR(__xludf.DUMMYFUNCTION("""COMPUTED_VALUE"""),0.622)</f>
        <v>0.622</v>
      </c>
      <c r="H189" s="15"/>
      <c r="I189" s="16">
        <f ca="1">IFERROR(__xludf.DUMMYFUNCTION("""COMPUTED_VALUE"""),870000)</f>
        <v>870000</v>
      </c>
    </row>
    <row r="190" spans="2:9" x14ac:dyDescent="0.3">
      <c r="B190" s="12" t="str">
        <f ca="1">IFERROR(__xludf.DUMMYFUNCTION("""COMPUTED_VALUE"""),"круг")</f>
        <v>круг</v>
      </c>
      <c r="C190" s="7" t="str">
        <f ca="1">IFERROR(__xludf.DUMMYFUNCTION("""COMPUTED_VALUE"""),"07х16н4Б")</f>
        <v>07х16н4Б</v>
      </c>
      <c r="D190" s="13">
        <f ca="1">IFERROR(__xludf.DUMMYFUNCTION("""COMPUTED_VALUE"""),40)</f>
        <v>40</v>
      </c>
      <c r="E190" s="13"/>
      <c r="F190" s="14" t="str">
        <f ca="1">IFERROR(__xludf.DUMMYFUNCTION("""COMPUTED_VALUE"""),"ту 14-1-3573-83, 2гп ")</f>
        <v xml:space="preserve">ту 14-1-3573-83, 2гп </v>
      </c>
      <c r="G190" s="15">
        <f ca="1">IFERROR(__xludf.DUMMYFUNCTION("""COMPUTED_VALUE"""),0.706)</f>
        <v>0.70599999999999996</v>
      </c>
      <c r="H190" s="15"/>
      <c r="I190" s="16">
        <f ca="1">IFERROR(__xludf.DUMMYFUNCTION("""COMPUTED_VALUE"""),820000)</f>
        <v>820000</v>
      </c>
    </row>
    <row r="191" spans="2:9" x14ac:dyDescent="0.3">
      <c r="B191" s="12" t="str">
        <f ca="1">IFERROR(__xludf.DUMMYFUNCTION("""COMPUTED_VALUE"""),"круг")</f>
        <v>круг</v>
      </c>
      <c r="C191" s="7" t="str">
        <f ca="1">IFERROR(__xludf.DUMMYFUNCTION("""COMPUTED_VALUE"""),"07х16н4Б")</f>
        <v>07х16н4Б</v>
      </c>
      <c r="D191" s="13">
        <f ca="1">IFERROR(__xludf.DUMMYFUNCTION("""COMPUTED_VALUE"""),40)</f>
        <v>40</v>
      </c>
      <c r="E191" s="13"/>
      <c r="F191" s="14" t="str">
        <f ca="1">IFERROR(__xludf.DUMMYFUNCTION("""COMPUTED_VALUE"""),"ту 14-1-3573-83, 2гп ")</f>
        <v xml:space="preserve">ту 14-1-3573-83, 2гп </v>
      </c>
      <c r="G191" s="15">
        <f ca="1">IFERROR(__xludf.DUMMYFUNCTION("""COMPUTED_VALUE"""),1.294)</f>
        <v>1.294</v>
      </c>
      <c r="H191" s="15"/>
      <c r="I191" s="16">
        <f ca="1">IFERROR(__xludf.DUMMYFUNCTION("""COMPUTED_VALUE"""),820000)</f>
        <v>820000</v>
      </c>
    </row>
    <row r="192" spans="2:9" x14ac:dyDescent="0.3">
      <c r="B192" s="12" t="str">
        <f ca="1">IFERROR(__xludf.DUMMYFUNCTION("""COMPUTED_VALUE"""),"круг")</f>
        <v>круг</v>
      </c>
      <c r="C192" s="7" t="str">
        <f ca="1">IFERROR(__xludf.DUMMYFUNCTION("""COMPUTED_VALUE"""),"07х16н4Б")</f>
        <v>07х16н4Б</v>
      </c>
      <c r="D192" s="13">
        <f ca="1">IFERROR(__xludf.DUMMYFUNCTION("""COMPUTED_VALUE"""),45)</f>
        <v>45</v>
      </c>
      <c r="E192" s="13"/>
      <c r="F192" s="14" t="str">
        <f ca="1">IFERROR(__xludf.DUMMYFUNCTION("""COMPUTED_VALUE"""),"ту 14-1-3573-83 , УЗК РТТ")</f>
        <v>ту 14-1-3573-83 , УЗК РТТ</v>
      </c>
      <c r="G192" s="15">
        <f ca="1">IFERROR(__xludf.DUMMYFUNCTION("""COMPUTED_VALUE"""),0.076)</f>
        <v>7.5999999999999998E-2</v>
      </c>
      <c r="H192" s="15"/>
      <c r="I192" s="16">
        <f ca="1">IFERROR(__xludf.DUMMYFUNCTION("""COMPUTED_VALUE"""),500000)</f>
        <v>500000</v>
      </c>
    </row>
    <row r="193" spans="2:9" x14ac:dyDescent="0.3">
      <c r="B193" s="12" t="str">
        <f ca="1">IFERROR(__xludf.DUMMYFUNCTION("""COMPUTED_VALUE"""),"круг")</f>
        <v>круг</v>
      </c>
      <c r="C193" s="7" t="str">
        <f ca="1">IFERROR(__xludf.DUMMYFUNCTION("""COMPUTED_VALUE"""),"07х16н4Б")</f>
        <v>07х16н4Б</v>
      </c>
      <c r="D193" s="13">
        <f ca="1">IFERROR(__xludf.DUMMYFUNCTION("""COMPUTED_VALUE"""),45)</f>
        <v>45</v>
      </c>
      <c r="E193" s="13"/>
      <c r="F193" s="14" t="str">
        <f ca="1">IFERROR(__xludf.DUMMYFUNCTION("""COMPUTED_VALUE"""),"ту 14-1-3573-83, 2гп УЗК, контроль Со")</f>
        <v>ту 14-1-3573-83, 2гп УЗК, контроль Со</v>
      </c>
      <c r="G193" s="15">
        <f ca="1">IFERROR(__xludf.DUMMYFUNCTION("""COMPUTED_VALUE"""),0.518)</f>
        <v>0.51800000000000002</v>
      </c>
      <c r="H193" s="15"/>
      <c r="I193" s="16">
        <f ca="1">IFERROR(__xludf.DUMMYFUNCTION("""COMPUTED_VALUE"""),870000)</f>
        <v>870000</v>
      </c>
    </row>
    <row r="194" spans="2:9" x14ac:dyDescent="0.3">
      <c r="B194" s="12" t="str">
        <f ca="1">IFERROR(__xludf.DUMMYFUNCTION("""COMPUTED_VALUE"""),"круг")</f>
        <v>круг</v>
      </c>
      <c r="C194" s="7" t="str">
        <f ca="1">IFERROR(__xludf.DUMMYFUNCTION("""COMPUTED_VALUE"""),"07х16н4Б-Ш")</f>
        <v>07х16н4Б-Ш</v>
      </c>
      <c r="D194" s="13">
        <f ca="1">IFERROR(__xludf.DUMMYFUNCTION("""COMPUTED_VALUE"""),45)</f>
        <v>45</v>
      </c>
      <c r="E194" s="13"/>
      <c r="F194" s="14" t="str">
        <f ca="1">IFERROR(__xludf.DUMMYFUNCTION("""COMPUTED_VALUE"""),"ту 14-1-3573-83, УЗК РТТ")</f>
        <v>ту 14-1-3573-83, УЗК РТТ</v>
      </c>
      <c r="G194" s="15">
        <f ca="1">IFERROR(__xludf.DUMMYFUNCTION("""COMPUTED_VALUE"""),0.072)</f>
        <v>7.1999999999999995E-2</v>
      </c>
      <c r="H194" s="15"/>
      <c r="I194" s="16">
        <f ca="1">IFERROR(__xludf.DUMMYFUNCTION("""COMPUTED_VALUE"""),1100000)</f>
        <v>1100000</v>
      </c>
    </row>
    <row r="195" spans="2:9" x14ac:dyDescent="0.3">
      <c r="B195" s="12" t="str">
        <f ca="1">IFERROR(__xludf.DUMMYFUNCTION("""COMPUTED_VALUE"""),"круг")</f>
        <v>круг</v>
      </c>
      <c r="C195" s="7" t="str">
        <f ca="1">IFERROR(__xludf.DUMMYFUNCTION("""COMPUTED_VALUE"""),"07х16н4Б")</f>
        <v>07х16н4Б</v>
      </c>
      <c r="D195" s="13">
        <f ca="1">IFERROR(__xludf.DUMMYFUNCTION("""COMPUTED_VALUE"""),50)</f>
        <v>50</v>
      </c>
      <c r="E195" s="13"/>
      <c r="F195" s="14" t="str">
        <f ca="1">IFERROR(__xludf.DUMMYFUNCTION("""COMPUTED_VALUE"""),"ту 14-1-3573-83, 2гп ")</f>
        <v xml:space="preserve">ту 14-1-3573-83, 2гп </v>
      </c>
      <c r="G195" s="15">
        <f ca="1">IFERROR(__xludf.DUMMYFUNCTION("""COMPUTED_VALUE"""),0.0370000000000001)</f>
        <v>3.7000000000000102E-2</v>
      </c>
      <c r="H195" s="15"/>
      <c r="I195" s="16">
        <f ca="1">IFERROR(__xludf.DUMMYFUNCTION("""COMPUTED_VALUE"""),840000)</f>
        <v>840000</v>
      </c>
    </row>
    <row r="196" spans="2:9" x14ac:dyDescent="0.3">
      <c r="B196" s="12" t="str">
        <f ca="1">IFERROR(__xludf.DUMMYFUNCTION("""COMPUTED_VALUE"""),"круг")</f>
        <v>круг</v>
      </c>
      <c r="C196" s="7" t="str">
        <f ca="1">IFERROR(__xludf.DUMMYFUNCTION("""COMPUTED_VALUE"""),"07х16н4Б")</f>
        <v>07х16н4Б</v>
      </c>
      <c r="D196" s="13">
        <f ca="1">IFERROR(__xludf.DUMMYFUNCTION("""COMPUTED_VALUE"""),50)</f>
        <v>50</v>
      </c>
      <c r="E196" s="13"/>
      <c r="F196" s="14" t="str">
        <f ca="1">IFERROR(__xludf.DUMMYFUNCTION("""COMPUTED_VALUE"""),"ту 14-1-3573-83, 2гп ")</f>
        <v xml:space="preserve">ту 14-1-3573-83, 2гп </v>
      </c>
      <c r="G196" s="15">
        <f ca="1">IFERROR(__xludf.DUMMYFUNCTION("""COMPUTED_VALUE"""),0.395)</f>
        <v>0.39500000000000002</v>
      </c>
      <c r="H196" s="15"/>
      <c r="I196" s="16">
        <f ca="1">IFERROR(__xludf.DUMMYFUNCTION("""COMPUTED_VALUE"""),820000)</f>
        <v>820000</v>
      </c>
    </row>
    <row r="197" spans="2:9" x14ac:dyDescent="0.3">
      <c r="B197" s="12" t="str">
        <f ca="1">IFERROR(__xludf.DUMMYFUNCTION("""COMPUTED_VALUE"""),"круг")</f>
        <v>круг</v>
      </c>
      <c r="C197" s="7" t="str">
        <f ca="1">IFERROR(__xludf.DUMMYFUNCTION("""COMPUTED_VALUE"""),"07х16н4Б")</f>
        <v>07х16н4Б</v>
      </c>
      <c r="D197" s="13">
        <f ca="1">IFERROR(__xludf.DUMMYFUNCTION("""COMPUTED_VALUE"""),50)</f>
        <v>50</v>
      </c>
      <c r="E197" s="13"/>
      <c r="F197" s="14" t="str">
        <f ca="1">IFERROR(__xludf.DUMMYFUNCTION("""COMPUTED_VALUE"""),"ту 14-1-3573-83, 2гп ")</f>
        <v xml:space="preserve">ту 14-1-3573-83, 2гп </v>
      </c>
      <c r="G197" s="15">
        <f ca="1">IFERROR(__xludf.DUMMYFUNCTION("""COMPUTED_VALUE"""),1.45)</f>
        <v>1.45</v>
      </c>
      <c r="H197" s="15"/>
      <c r="I197" s="16">
        <f ca="1">IFERROR(__xludf.DUMMYFUNCTION("""COMPUTED_VALUE"""),820000)</f>
        <v>820000</v>
      </c>
    </row>
    <row r="198" spans="2:9" x14ac:dyDescent="0.3">
      <c r="B198" s="12" t="str">
        <f ca="1">IFERROR(__xludf.DUMMYFUNCTION("""COMPUTED_VALUE"""),"круг")</f>
        <v>круг</v>
      </c>
      <c r="C198" s="7" t="str">
        <f ca="1">IFERROR(__xludf.DUMMYFUNCTION("""COMPUTED_VALUE"""),"07х16н4Б")</f>
        <v>07х16н4Б</v>
      </c>
      <c r="D198" s="13">
        <f ca="1">IFERROR(__xludf.DUMMYFUNCTION("""COMPUTED_VALUE"""),56)</f>
        <v>56</v>
      </c>
      <c r="E198" s="13"/>
      <c r="F198" s="14" t="str">
        <f ca="1">IFERROR(__xludf.DUMMYFUNCTION("""COMPUTED_VALUE"""),"ту 14-1-3573-83, 2гп РТТ")</f>
        <v>ту 14-1-3573-83, 2гп РТТ</v>
      </c>
      <c r="G198" s="15">
        <f ca="1">IFERROR(__xludf.DUMMYFUNCTION("""COMPUTED_VALUE"""),0.0189999999999999)</f>
        <v>1.8999999999999899E-2</v>
      </c>
      <c r="H198" s="15"/>
      <c r="I198" s="16">
        <f ca="1">IFERROR(__xludf.DUMMYFUNCTION("""COMPUTED_VALUE"""),850000)</f>
        <v>850000</v>
      </c>
    </row>
    <row r="199" spans="2:9" x14ac:dyDescent="0.3">
      <c r="B199" s="12" t="str">
        <f ca="1">IFERROR(__xludf.DUMMYFUNCTION("""COMPUTED_VALUE"""),"круг")</f>
        <v>круг</v>
      </c>
      <c r="C199" s="7" t="str">
        <f ca="1">IFERROR(__xludf.DUMMYFUNCTION("""COMPUTED_VALUE"""),"07х16н4Б")</f>
        <v>07х16н4Б</v>
      </c>
      <c r="D199" s="13">
        <f ca="1">IFERROR(__xludf.DUMMYFUNCTION("""COMPUTED_VALUE"""),56)</f>
        <v>56</v>
      </c>
      <c r="E199" s="13"/>
      <c r="F199" s="14" t="str">
        <f ca="1">IFERROR(__xludf.DUMMYFUNCTION("""COMPUTED_VALUE"""),"ту 14-1-3573-83, 2гп РТТ")</f>
        <v>ту 14-1-3573-83, 2гп РТТ</v>
      </c>
      <c r="G199" s="15">
        <f ca="1">IFERROR(__xludf.DUMMYFUNCTION("""COMPUTED_VALUE"""),0.697)</f>
        <v>0.69699999999999995</v>
      </c>
      <c r="H199" s="15"/>
      <c r="I199" s="16">
        <f ca="1">IFERROR(__xludf.DUMMYFUNCTION("""COMPUTED_VALUE"""),850000)</f>
        <v>850000</v>
      </c>
    </row>
    <row r="200" spans="2:9" x14ac:dyDescent="0.3">
      <c r="B200" s="12" t="str">
        <f ca="1">IFERROR(__xludf.DUMMYFUNCTION("""COMPUTED_VALUE"""),"круг")</f>
        <v>круг</v>
      </c>
      <c r="C200" s="7" t="str">
        <f ca="1">IFERROR(__xludf.DUMMYFUNCTION("""COMPUTED_VALUE"""),"07х16н4Б")</f>
        <v>07х16н4Б</v>
      </c>
      <c r="D200" s="13">
        <f ca="1">IFERROR(__xludf.DUMMYFUNCTION("""COMPUTED_VALUE"""),56)</f>
        <v>56</v>
      </c>
      <c r="E200" s="13"/>
      <c r="F200" s="14" t="str">
        <f ca="1">IFERROR(__xludf.DUMMYFUNCTION("""COMPUTED_VALUE"""),"ту 14-1-3573-83, 2гп РТТ")</f>
        <v>ту 14-1-3573-83, 2гп РТТ</v>
      </c>
      <c r="G200" s="15">
        <f ca="1">IFERROR(__xludf.DUMMYFUNCTION("""COMPUTED_VALUE"""),0.585)</f>
        <v>0.58499999999999996</v>
      </c>
      <c r="H200" s="15"/>
      <c r="I200" s="16">
        <f ca="1">IFERROR(__xludf.DUMMYFUNCTION("""COMPUTED_VALUE"""),850000)</f>
        <v>850000</v>
      </c>
    </row>
    <row r="201" spans="2:9" x14ac:dyDescent="0.3">
      <c r="B201" s="12" t="str">
        <f ca="1">IFERROR(__xludf.DUMMYFUNCTION("""COMPUTED_VALUE"""),"круг")</f>
        <v>круг</v>
      </c>
      <c r="C201" s="7" t="str">
        <f ca="1">IFERROR(__xludf.DUMMYFUNCTION("""COMPUTED_VALUE"""),"07х16н4Б")</f>
        <v>07х16н4Б</v>
      </c>
      <c r="D201" s="13">
        <f ca="1">IFERROR(__xludf.DUMMYFUNCTION("""COMPUTED_VALUE"""),60)</f>
        <v>60</v>
      </c>
      <c r="E201" s="13"/>
      <c r="F201" s="14" t="str">
        <f ca="1">IFERROR(__xludf.DUMMYFUNCTION("""COMPUTED_VALUE"""),"ту 14-1-3573-83, 2гп УЗК, контроль Со")</f>
        <v>ту 14-1-3573-83, 2гп УЗК, контроль Со</v>
      </c>
      <c r="G201" s="15">
        <f ca="1">IFERROR(__xludf.DUMMYFUNCTION("""COMPUTED_VALUE"""),0.288)</f>
        <v>0.28799999999999998</v>
      </c>
      <c r="H201" s="15"/>
      <c r="I201" s="16">
        <f ca="1">IFERROR(__xludf.DUMMYFUNCTION("""COMPUTED_VALUE"""),860000)</f>
        <v>860000</v>
      </c>
    </row>
    <row r="202" spans="2:9" x14ac:dyDescent="0.3">
      <c r="B202" s="12" t="str">
        <f ca="1">IFERROR(__xludf.DUMMYFUNCTION("""COMPUTED_VALUE"""),"круг")</f>
        <v>круг</v>
      </c>
      <c r="C202" s="7" t="str">
        <f ca="1">IFERROR(__xludf.DUMMYFUNCTION("""COMPUTED_VALUE"""),"07х16н4Б")</f>
        <v>07х16н4Б</v>
      </c>
      <c r="D202" s="13">
        <f ca="1">IFERROR(__xludf.DUMMYFUNCTION("""COMPUTED_VALUE"""),60)</f>
        <v>60</v>
      </c>
      <c r="E202" s="13"/>
      <c r="F202" s="14" t="str">
        <f ca="1">IFERROR(__xludf.DUMMYFUNCTION("""COMPUTED_VALUE"""),"ту 14-1-3573-83, 2гп УЗК,")</f>
        <v>ту 14-1-3573-83, 2гп УЗК,</v>
      </c>
      <c r="G202" s="15">
        <f ca="1">IFERROR(__xludf.DUMMYFUNCTION("""COMPUTED_VALUE"""),0.095)</f>
        <v>9.5000000000000001E-2</v>
      </c>
      <c r="H202" s="15"/>
      <c r="I202" s="16">
        <f ca="1">IFERROR(__xludf.DUMMYFUNCTION("""COMPUTED_VALUE"""),860000)</f>
        <v>860000</v>
      </c>
    </row>
    <row r="203" spans="2:9" x14ac:dyDescent="0.3">
      <c r="B203" s="12" t="str">
        <f ca="1">IFERROR(__xludf.DUMMYFUNCTION("""COMPUTED_VALUE"""),"круг")</f>
        <v>круг</v>
      </c>
      <c r="C203" s="7" t="str">
        <f ca="1">IFERROR(__xludf.DUMMYFUNCTION("""COMPUTED_VALUE"""),"07х16н4Б")</f>
        <v>07х16н4Б</v>
      </c>
      <c r="D203" s="13">
        <f ca="1">IFERROR(__xludf.DUMMYFUNCTION("""COMPUTED_VALUE"""),60)</f>
        <v>60</v>
      </c>
      <c r="E203" s="13"/>
      <c r="F203" s="14" t="str">
        <f ca="1">IFERROR(__xludf.DUMMYFUNCTION("""COMPUTED_VALUE"""),"ту 14-1-3573-83, 2гп УЗК,")</f>
        <v>ту 14-1-3573-83, 2гп УЗК,</v>
      </c>
      <c r="G203" s="15">
        <f ca="1">IFERROR(__xludf.DUMMYFUNCTION("""COMPUTED_VALUE"""),0.16)</f>
        <v>0.16</v>
      </c>
      <c r="H203" s="15"/>
      <c r="I203" s="16">
        <f ca="1">IFERROR(__xludf.DUMMYFUNCTION("""COMPUTED_VALUE"""),860000)</f>
        <v>860000</v>
      </c>
    </row>
    <row r="204" spans="2:9" x14ac:dyDescent="0.3">
      <c r="B204" s="12" t="str">
        <f ca="1">IFERROR(__xludf.DUMMYFUNCTION("""COMPUTED_VALUE"""),"круг")</f>
        <v>круг</v>
      </c>
      <c r="C204" s="7" t="str">
        <f ca="1">IFERROR(__xludf.DUMMYFUNCTION("""COMPUTED_VALUE"""),"07х16н4Б")</f>
        <v>07х16н4Б</v>
      </c>
      <c r="D204" s="13">
        <f ca="1">IFERROR(__xludf.DUMMYFUNCTION("""COMPUTED_VALUE"""),60)</f>
        <v>60</v>
      </c>
      <c r="E204" s="13"/>
      <c r="F204" s="14" t="str">
        <f ca="1">IFERROR(__xludf.DUMMYFUNCTION("""COMPUTED_VALUE"""),"ту 14-1-3573-83, 2гп ")</f>
        <v xml:space="preserve">ту 14-1-3573-83, 2гп </v>
      </c>
      <c r="G204" s="15">
        <f ca="1">IFERROR(__xludf.DUMMYFUNCTION("""COMPUTED_VALUE"""),0.185)</f>
        <v>0.185</v>
      </c>
      <c r="H204" s="15"/>
      <c r="I204" s="16">
        <f ca="1">IFERROR(__xludf.DUMMYFUNCTION("""COMPUTED_VALUE"""),820000)</f>
        <v>820000</v>
      </c>
    </row>
    <row r="205" spans="2:9" x14ac:dyDescent="0.3">
      <c r="B205" s="12" t="str">
        <f ca="1">IFERROR(__xludf.DUMMYFUNCTION("""COMPUTED_VALUE"""),"круг")</f>
        <v>круг</v>
      </c>
      <c r="C205" s="7" t="str">
        <f ca="1">IFERROR(__xludf.DUMMYFUNCTION("""COMPUTED_VALUE"""),"07х16н4Б")</f>
        <v>07х16н4Б</v>
      </c>
      <c r="D205" s="13">
        <f ca="1">IFERROR(__xludf.DUMMYFUNCTION("""COMPUTED_VALUE"""),60)</f>
        <v>60</v>
      </c>
      <c r="E205" s="13"/>
      <c r="F205" s="14" t="str">
        <f ca="1">IFERROR(__xludf.DUMMYFUNCTION("""COMPUTED_VALUE"""),"ту 14-1-3573-83, 2гп ")</f>
        <v xml:space="preserve">ту 14-1-3573-83, 2гп </v>
      </c>
      <c r="G205" s="15">
        <f ca="1">IFERROR(__xludf.DUMMYFUNCTION("""COMPUTED_VALUE"""),1.04)</f>
        <v>1.04</v>
      </c>
      <c r="H205" s="15"/>
      <c r="I205" s="16">
        <f ca="1">IFERROR(__xludf.DUMMYFUNCTION("""COMPUTED_VALUE"""),820000)</f>
        <v>820000</v>
      </c>
    </row>
    <row r="206" spans="2:9" x14ac:dyDescent="0.3">
      <c r="B206" s="12" t="str">
        <f ca="1">IFERROR(__xludf.DUMMYFUNCTION("""COMPUTED_VALUE"""),"круг")</f>
        <v>круг</v>
      </c>
      <c r="C206" s="7" t="str">
        <f ca="1">IFERROR(__xludf.DUMMYFUNCTION("""COMPUTED_VALUE"""),"07х16н4Б")</f>
        <v>07х16н4Б</v>
      </c>
      <c r="D206" s="13">
        <f ca="1">IFERROR(__xludf.DUMMYFUNCTION("""COMPUTED_VALUE"""),60)</f>
        <v>60</v>
      </c>
      <c r="E206" s="13"/>
      <c r="F206" s="14" t="str">
        <f ca="1">IFERROR(__xludf.DUMMYFUNCTION("""COMPUTED_VALUE"""),"ту 14-1-3573-83, 2гп ")</f>
        <v xml:space="preserve">ту 14-1-3573-83, 2гп </v>
      </c>
      <c r="G206" s="15">
        <f ca="1">IFERROR(__xludf.DUMMYFUNCTION("""COMPUTED_VALUE"""),0.774999999999999)</f>
        <v>0.77499999999999902</v>
      </c>
      <c r="H206" s="15"/>
      <c r="I206" s="16">
        <f ca="1">IFERROR(__xludf.DUMMYFUNCTION("""COMPUTED_VALUE"""),820000)</f>
        <v>820000</v>
      </c>
    </row>
    <row r="207" spans="2:9" x14ac:dyDescent="0.3">
      <c r="B207" s="12" t="str">
        <f ca="1">IFERROR(__xludf.DUMMYFUNCTION("""COMPUTED_VALUE"""),"круг")</f>
        <v>круг</v>
      </c>
      <c r="C207" s="7" t="str">
        <f ca="1">IFERROR(__xludf.DUMMYFUNCTION("""COMPUTED_VALUE"""),"07х16н4Б")</f>
        <v>07х16н4Б</v>
      </c>
      <c r="D207" s="13">
        <f ca="1">IFERROR(__xludf.DUMMYFUNCTION("""COMPUTED_VALUE"""),65)</f>
        <v>65</v>
      </c>
      <c r="E207" s="13"/>
      <c r="F207" s="14" t="str">
        <f ca="1">IFERROR(__xludf.DUMMYFUNCTION("""COMPUTED_VALUE"""),"ту 14-1-3573-83, 2гп УЗК, контроль Со")</f>
        <v>ту 14-1-3573-83, 2гп УЗК, контроль Со</v>
      </c>
      <c r="G207" s="15">
        <f ca="1">IFERROR(__xludf.DUMMYFUNCTION("""COMPUTED_VALUE"""),0.0679999999999999)</f>
        <v>6.7999999999999894E-2</v>
      </c>
      <c r="H207" s="15"/>
      <c r="I207" s="16">
        <f ca="1">IFERROR(__xludf.DUMMYFUNCTION("""COMPUTED_VALUE"""),860000)</f>
        <v>860000</v>
      </c>
    </row>
    <row r="208" spans="2:9" x14ac:dyDescent="0.3">
      <c r="B208" s="12" t="str">
        <f ca="1">IFERROR(__xludf.DUMMYFUNCTION("""COMPUTED_VALUE"""),"круг")</f>
        <v>круг</v>
      </c>
      <c r="C208" s="7" t="str">
        <f ca="1">IFERROR(__xludf.DUMMYFUNCTION("""COMPUTED_VALUE"""),"07х16н4Б-Ш")</f>
        <v>07х16н4Б-Ш</v>
      </c>
      <c r="D208" s="13">
        <f ca="1">IFERROR(__xludf.DUMMYFUNCTION("""COMPUTED_VALUE"""),65)</f>
        <v>65</v>
      </c>
      <c r="E208" s="13"/>
      <c r="F208" s="14" t="str">
        <f ca="1">IFERROR(__xludf.DUMMYFUNCTION("""COMPUTED_VALUE"""),"ту 14-1-3573-83, 2гп , УЗК РТТ")</f>
        <v>ту 14-1-3573-83, 2гп , УЗК РТТ</v>
      </c>
      <c r="G208" s="15">
        <f ca="1">IFERROR(__xludf.DUMMYFUNCTION("""COMPUTED_VALUE"""),1.89399999999999)</f>
        <v>1.8939999999999899</v>
      </c>
      <c r="H208" s="15"/>
      <c r="I208" s="16">
        <f ca="1">IFERROR(__xludf.DUMMYFUNCTION("""COMPUTED_VALUE"""),860000)</f>
        <v>860000</v>
      </c>
    </row>
    <row r="209" spans="2:9" x14ac:dyDescent="0.3">
      <c r="B209" s="12" t="str">
        <f ca="1">IFERROR(__xludf.DUMMYFUNCTION("""COMPUTED_VALUE"""),"круг")</f>
        <v>круг</v>
      </c>
      <c r="C209" s="7" t="str">
        <f ca="1">IFERROR(__xludf.DUMMYFUNCTION("""COMPUTED_VALUE"""),"07х16н4Б")</f>
        <v>07х16н4Б</v>
      </c>
      <c r="D209" s="13">
        <f ca="1">IFERROR(__xludf.DUMMYFUNCTION("""COMPUTED_VALUE"""),70)</f>
        <v>70</v>
      </c>
      <c r="E209" s="13"/>
      <c r="F209" s="14" t="str">
        <f ca="1">IFERROR(__xludf.DUMMYFUNCTION("""COMPUTED_VALUE"""),"ту 14-1-3573-83, 2гп УЗК, контроль Со")</f>
        <v>ту 14-1-3573-83, 2гп УЗК, контроль Со</v>
      </c>
      <c r="G209" s="15">
        <f ca="1">IFERROR(__xludf.DUMMYFUNCTION("""COMPUTED_VALUE"""),0.039)</f>
        <v>3.9E-2</v>
      </c>
      <c r="H209" s="15"/>
      <c r="I209" s="16">
        <f ca="1">IFERROR(__xludf.DUMMYFUNCTION("""COMPUTED_VALUE"""),840000)</f>
        <v>840000</v>
      </c>
    </row>
    <row r="210" spans="2:9" x14ac:dyDescent="0.3">
      <c r="B210" s="12" t="str">
        <f ca="1">IFERROR(__xludf.DUMMYFUNCTION("""COMPUTED_VALUE"""),"круг")</f>
        <v>круг</v>
      </c>
      <c r="C210" s="7" t="str">
        <f ca="1">IFERROR(__xludf.DUMMYFUNCTION("""COMPUTED_VALUE"""),"07х16н4Б")</f>
        <v>07х16н4Б</v>
      </c>
      <c r="D210" s="13">
        <f ca="1">IFERROR(__xludf.DUMMYFUNCTION("""COMPUTED_VALUE"""),70)</f>
        <v>70</v>
      </c>
      <c r="E210" s="13"/>
      <c r="F210" s="14" t="str">
        <f ca="1">IFERROR(__xludf.DUMMYFUNCTION("""COMPUTED_VALUE"""),"ту 14-1-3573-83, 2гп УЗК, контроль Со")</f>
        <v>ту 14-1-3573-83, 2гп УЗК, контроль Со</v>
      </c>
      <c r="G210" s="15">
        <f ca="1">IFERROR(__xludf.DUMMYFUNCTION("""COMPUTED_VALUE"""),0.831)</f>
        <v>0.83099999999999996</v>
      </c>
      <c r="H210" s="15"/>
      <c r="I210" s="16">
        <f ca="1">IFERROR(__xludf.DUMMYFUNCTION("""COMPUTED_VALUE"""),840000)</f>
        <v>840000</v>
      </c>
    </row>
    <row r="211" spans="2:9" x14ac:dyDescent="0.3">
      <c r="B211" s="12" t="str">
        <f ca="1">IFERROR(__xludf.DUMMYFUNCTION("""COMPUTED_VALUE"""),"круг")</f>
        <v>круг</v>
      </c>
      <c r="C211" s="7" t="str">
        <f ca="1">IFERROR(__xludf.DUMMYFUNCTION("""COMPUTED_VALUE"""),"07х16н4Б")</f>
        <v>07х16н4Б</v>
      </c>
      <c r="D211" s="13">
        <f ca="1">IFERROR(__xludf.DUMMYFUNCTION("""COMPUTED_VALUE"""),70)</f>
        <v>70</v>
      </c>
      <c r="E211" s="13"/>
      <c r="F211" s="14" t="str">
        <f ca="1">IFERROR(__xludf.DUMMYFUNCTION("""COMPUTED_VALUE"""),"ту 14-1-3573-83, 2гп УЗК, контроль Со")</f>
        <v>ту 14-1-3573-83, 2гп УЗК, контроль Со</v>
      </c>
      <c r="G211" s="15">
        <f ca="1">IFERROR(__xludf.DUMMYFUNCTION("""COMPUTED_VALUE"""),0.195)</f>
        <v>0.19500000000000001</v>
      </c>
      <c r="H211" s="15"/>
      <c r="I211" s="16">
        <f ca="1">IFERROR(__xludf.DUMMYFUNCTION("""COMPUTED_VALUE"""),840000)</f>
        <v>840000</v>
      </c>
    </row>
    <row r="212" spans="2:9" x14ac:dyDescent="0.3">
      <c r="B212" s="12" t="str">
        <f ca="1">IFERROR(__xludf.DUMMYFUNCTION("""COMPUTED_VALUE"""),"круг")</f>
        <v>круг</v>
      </c>
      <c r="C212" s="7" t="str">
        <f ca="1">IFERROR(__xludf.DUMMYFUNCTION("""COMPUTED_VALUE"""),"07х16н4Б")</f>
        <v>07х16н4Б</v>
      </c>
      <c r="D212" s="13">
        <f ca="1">IFERROR(__xludf.DUMMYFUNCTION("""COMPUTED_VALUE"""),70)</f>
        <v>70</v>
      </c>
      <c r="E212" s="13"/>
      <c r="F212" s="14" t="str">
        <f ca="1">IFERROR(__xludf.DUMMYFUNCTION("""COMPUTED_VALUE"""),"ту 14-1-3573-83, 2гп УЗК, контроль Со")</f>
        <v>ту 14-1-3573-83, 2гп УЗК, контроль Со</v>
      </c>
      <c r="G212" s="15">
        <f ca="1">IFERROR(__xludf.DUMMYFUNCTION("""COMPUTED_VALUE"""),0.29)</f>
        <v>0.28999999999999998</v>
      </c>
      <c r="H212" s="15"/>
      <c r="I212" s="16">
        <f ca="1">IFERROR(__xludf.DUMMYFUNCTION("""COMPUTED_VALUE"""),840000)</f>
        <v>840000</v>
      </c>
    </row>
    <row r="213" spans="2:9" x14ac:dyDescent="0.3">
      <c r="B213" s="12" t="str">
        <f ca="1">IFERROR(__xludf.DUMMYFUNCTION("""COMPUTED_VALUE"""),"круг")</f>
        <v>круг</v>
      </c>
      <c r="C213" s="7" t="str">
        <f ca="1">IFERROR(__xludf.DUMMYFUNCTION("""COMPUTED_VALUE"""),"07х16н4Б")</f>
        <v>07х16н4Б</v>
      </c>
      <c r="D213" s="13">
        <f ca="1">IFERROR(__xludf.DUMMYFUNCTION("""COMPUTED_VALUE"""),75)</f>
        <v>75</v>
      </c>
      <c r="E213" s="13"/>
      <c r="F213" s="14" t="str">
        <f ca="1">IFERROR(__xludf.DUMMYFUNCTION("""COMPUTED_VALUE"""),"ту 14-1-3573-83, 2гп ")</f>
        <v xml:space="preserve">ту 14-1-3573-83, 2гп </v>
      </c>
      <c r="G213" s="15">
        <f ca="1">IFERROR(__xludf.DUMMYFUNCTION("""COMPUTED_VALUE"""),2)</f>
        <v>2</v>
      </c>
      <c r="H213" s="15"/>
      <c r="I213" s="16">
        <f ca="1">IFERROR(__xludf.DUMMYFUNCTION("""COMPUTED_VALUE"""),820000)</f>
        <v>820000</v>
      </c>
    </row>
    <row r="214" spans="2:9" x14ac:dyDescent="0.3">
      <c r="B214" s="12" t="str">
        <f ca="1">IFERROR(__xludf.DUMMYFUNCTION("""COMPUTED_VALUE"""),"круг")</f>
        <v>круг</v>
      </c>
      <c r="C214" s="7" t="str">
        <f ca="1">IFERROR(__xludf.DUMMYFUNCTION("""COMPUTED_VALUE"""),"07х16н4Б")</f>
        <v>07х16н4Б</v>
      </c>
      <c r="D214" s="13">
        <f ca="1">IFERROR(__xludf.DUMMYFUNCTION("""COMPUTED_VALUE"""),75)</f>
        <v>75</v>
      </c>
      <c r="E214" s="13"/>
      <c r="F214" s="14" t="str">
        <f ca="1">IFERROR(__xludf.DUMMYFUNCTION("""COMPUTED_VALUE"""),"ту 14-1-3573-83, АТП , УЗК, 2гп ")</f>
        <v xml:space="preserve">ту 14-1-3573-83, АТП , УЗК, 2гп </v>
      </c>
      <c r="G214" s="15">
        <f ca="1">IFERROR(__xludf.DUMMYFUNCTION("""COMPUTED_VALUE"""),0.226)</f>
        <v>0.22600000000000001</v>
      </c>
      <c r="H214" s="15"/>
      <c r="I214" s="16">
        <f ca="1">IFERROR(__xludf.DUMMYFUNCTION("""COMPUTED_VALUE"""),870000)</f>
        <v>870000</v>
      </c>
    </row>
    <row r="215" spans="2:9" x14ac:dyDescent="0.3">
      <c r="B215" s="12" t="str">
        <f ca="1">IFERROR(__xludf.DUMMYFUNCTION("""COMPUTED_VALUE"""),"круг")</f>
        <v>круг</v>
      </c>
      <c r="C215" s="7" t="str">
        <f ca="1">IFERROR(__xludf.DUMMYFUNCTION("""COMPUTED_VALUE"""),"07х16н4Б-Ш")</f>
        <v>07х16н4Б-Ш</v>
      </c>
      <c r="D215" s="13">
        <f ca="1">IFERROR(__xludf.DUMMYFUNCTION("""COMPUTED_VALUE"""),78)</f>
        <v>78</v>
      </c>
      <c r="E215" s="13"/>
      <c r="F215" s="14" t="str">
        <f ca="1">IFERROR(__xludf.DUMMYFUNCTION("""COMPUTED_VALUE"""),"ту 14-1-3573-83, УЗК РТТ")</f>
        <v>ту 14-1-3573-83, УЗК РТТ</v>
      </c>
      <c r="G215" s="15">
        <f ca="1">IFERROR(__xludf.DUMMYFUNCTION("""COMPUTED_VALUE"""),1.88499999999999)</f>
        <v>1.88499999999999</v>
      </c>
      <c r="H215" s="15"/>
      <c r="I215" s="16">
        <f ca="1">IFERROR(__xludf.DUMMYFUNCTION("""COMPUTED_VALUE"""),1100000)</f>
        <v>1100000</v>
      </c>
    </row>
    <row r="216" spans="2:9" x14ac:dyDescent="0.3">
      <c r="B216" s="12" t="str">
        <f ca="1">IFERROR(__xludf.DUMMYFUNCTION("""COMPUTED_VALUE"""),"круг")</f>
        <v>круг</v>
      </c>
      <c r="C216" s="7" t="str">
        <f ca="1">IFERROR(__xludf.DUMMYFUNCTION("""COMPUTED_VALUE"""),"07х16н4Б")</f>
        <v>07х16н4Б</v>
      </c>
      <c r="D216" s="13">
        <f ca="1">IFERROR(__xludf.DUMMYFUNCTION("""COMPUTED_VALUE"""),80)</f>
        <v>80</v>
      </c>
      <c r="E216" s="13"/>
      <c r="F216" s="14" t="str">
        <f ca="1">IFERROR(__xludf.DUMMYFUNCTION("""COMPUTED_VALUE"""),"ту 14-1-3573-83, 2гп РТТ")</f>
        <v>ту 14-1-3573-83, 2гп РТТ</v>
      </c>
      <c r="G216" s="15">
        <f ca="1">IFERROR(__xludf.DUMMYFUNCTION("""COMPUTED_VALUE"""),0.505)</f>
        <v>0.505</v>
      </c>
      <c r="H216" s="15"/>
      <c r="I216" s="16">
        <f ca="1">IFERROR(__xludf.DUMMYFUNCTION("""COMPUTED_VALUE"""),850000)</f>
        <v>850000</v>
      </c>
    </row>
    <row r="217" spans="2:9" x14ac:dyDescent="0.3">
      <c r="B217" s="12" t="str">
        <f ca="1">IFERROR(__xludf.DUMMYFUNCTION("""COMPUTED_VALUE"""),"круг")</f>
        <v>круг</v>
      </c>
      <c r="C217" s="7" t="str">
        <f ca="1">IFERROR(__xludf.DUMMYFUNCTION("""COMPUTED_VALUE"""),"07х16н4Б")</f>
        <v>07х16н4Б</v>
      </c>
      <c r="D217" s="13">
        <f ca="1">IFERROR(__xludf.DUMMYFUNCTION("""COMPUTED_VALUE"""),80)</f>
        <v>80</v>
      </c>
      <c r="E217" s="13"/>
      <c r="F217" s="14" t="str">
        <f ca="1">IFERROR(__xludf.DUMMYFUNCTION("""COMPUTED_VALUE"""),"ту 14-1-3573-83, 2гп РТТ")</f>
        <v>ту 14-1-3573-83, 2гп РТТ</v>
      </c>
      <c r="G217" s="15">
        <f ca="1">IFERROR(__xludf.DUMMYFUNCTION("""COMPUTED_VALUE"""),1.46)</f>
        <v>1.46</v>
      </c>
      <c r="H217" s="15"/>
      <c r="I217" s="16">
        <f ca="1">IFERROR(__xludf.DUMMYFUNCTION("""COMPUTED_VALUE"""),850000)</f>
        <v>850000</v>
      </c>
    </row>
    <row r="218" spans="2:9" x14ac:dyDescent="0.3">
      <c r="B218" s="12" t="str">
        <f ca="1">IFERROR(__xludf.DUMMYFUNCTION("""COMPUTED_VALUE"""),"круг")</f>
        <v>круг</v>
      </c>
      <c r="C218" s="7" t="str">
        <f ca="1">IFERROR(__xludf.DUMMYFUNCTION("""COMPUTED_VALUE"""),"07х16н4Б")</f>
        <v>07х16н4Б</v>
      </c>
      <c r="D218" s="13">
        <f ca="1">IFERROR(__xludf.DUMMYFUNCTION("""COMPUTED_VALUE"""),80)</f>
        <v>80</v>
      </c>
      <c r="E218" s="13"/>
      <c r="F218" s="14" t="str">
        <f ca="1">IFERROR(__xludf.DUMMYFUNCTION("""COMPUTED_VALUE"""),"ту 14-1-3573-83, 2гп РТТ")</f>
        <v>ту 14-1-3573-83, 2гп РТТ</v>
      </c>
      <c r="G218" s="15">
        <f ca="1">IFERROR(__xludf.DUMMYFUNCTION("""COMPUTED_VALUE"""),0.355)</f>
        <v>0.35499999999999998</v>
      </c>
      <c r="H218" s="15"/>
      <c r="I218" s="16">
        <f ca="1">IFERROR(__xludf.DUMMYFUNCTION("""COMPUTED_VALUE"""),850000)</f>
        <v>850000</v>
      </c>
    </row>
    <row r="219" spans="2:9" x14ac:dyDescent="0.3">
      <c r="B219" s="12" t="str">
        <f ca="1">IFERROR(__xludf.DUMMYFUNCTION("""COMPUTED_VALUE"""),"круг")</f>
        <v>круг</v>
      </c>
      <c r="C219" s="7" t="str">
        <f ca="1">IFERROR(__xludf.DUMMYFUNCTION("""COMPUTED_VALUE"""),"07х16н4Б")</f>
        <v>07х16н4Б</v>
      </c>
      <c r="D219" s="13">
        <f ca="1">IFERROR(__xludf.DUMMYFUNCTION("""COMPUTED_VALUE"""),85)</f>
        <v>85</v>
      </c>
      <c r="E219" s="13"/>
      <c r="F219" s="14" t="str">
        <f ca="1">IFERROR(__xludf.DUMMYFUNCTION("""COMPUTED_VALUE"""),"ту 14-1-3573-83, 2гп ")</f>
        <v xml:space="preserve">ту 14-1-3573-83, 2гп </v>
      </c>
      <c r="G219" s="15">
        <f ca="1">IFERROR(__xludf.DUMMYFUNCTION("""COMPUTED_VALUE"""),0.743999999999999)</f>
        <v>0.743999999999999</v>
      </c>
      <c r="H219" s="15"/>
      <c r="I219" s="16">
        <f ca="1">IFERROR(__xludf.DUMMYFUNCTION("""COMPUTED_VALUE"""),840000)</f>
        <v>840000</v>
      </c>
    </row>
    <row r="220" spans="2:9" x14ac:dyDescent="0.3">
      <c r="B220" s="12" t="str">
        <f ca="1">IFERROR(__xludf.DUMMYFUNCTION("""COMPUTED_VALUE"""),"круг")</f>
        <v>круг</v>
      </c>
      <c r="C220" s="7" t="str">
        <f ca="1">IFERROR(__xludf.DUMMYFUNCTION("""COMPUTED_VALUE"""),"07х16н4Б")</f>
        <v>07х16н4Б</v>
      </c>
      <c r="D220" s="13">
        <f ca="1">IFERROR(__xludf.DUMMYFUNCTION("""COMPUTED_VALUE"""),90)</f>
        <v>90</v>
      </c>
      <c r="E220" s="13"/>
      <c r="F220" s="14" t="str">
        <f ca="1">IFERROR(__xludf.DUMMYFUNCTION("""COMPUTED_VALUE"""),"ту 14-1-3573-83, 2гп РТТ")</f>
        <v>ту 14-1-3573-83, 2гп РТТ</v>
      </c>
      <c r="G220" s="15">
        <f ca="1">IFERROR(__xludf.DUMMYFUNCTION("""COMPUTED_VALUE"""),0.156999999999999)</f>
        <v>0.156999999999999</v>
      </c>
      <c r="H220" s="15"/>
      <c r="I220" s="16">
        <f ca="1">IFERROR(__xludf.DUMMYFUNCTION("""COMPUTED_VALUE"""),850000)</f>
        <v>850000</v>
      </c>
    </row>
    <row r="221" spans="2:9" x14ac:dyDescent="0.3">
      <c r="B221" s="12" t="str">
        <f ca="1">IFERROR(__xludf.DUMMYFUNCTION("""COMPUTED_VALUE"""),"круг")</f>
        <v>круг</v>
      </c>
      <c r="C221" s="7" t="str">
        <f ca="1">IFERROR(__xludf.DUMMYFUNCTION("""COMPUTED_VALUE"""),"07х16н4Б")</f>
        <v>07х16н4Б</v>
      </c>
      <c r="D221" s="13">
        <f ca="1">IFERROR(__xludf.DUMMYFUNCTION("""COMPUTED_VALUE"""),90)</f>
        <v>90</v>
      </c>
      <c r="E221" s="13"/>
      <c r="F221" s="14" t="str">
        <f ca="1">IFERROR(__xludf.DUMMYFUNCTION("""COMPUTED_VALUE"""),"ту 14-1-3573-83, 2гп УЗК, контроль Со")</f>
        <v>ту 14-1-3573-83, 2гп УЗК, контроль Со</v>
      </c>
      <c r="G221" s="15">
        <f ca="1">IFERROR(__xludf.DUMMYFUNCTION("""COMPUTED_VALUE"""),1.33)</f>
        <v>1.33</v>
      </c>
      <c r="H221" s="15"/>
      <c r="I221" s="16">
        <f ca="1">IFERROR(__xludf.DUMMYFUNCTION("""COMPUTED_VALUE"""),840000)</f>
        <v>840000</v>
      </c>
    </row>
    <row r="222" spans="2:9" x14ac:dyDescent="0.3">
      <c r="B222" s="12" t="str">
        <f ca="1">IFERROR(__xludf.DUMMYFUNCTION("""COMPUTED_VALUE"""),"круг")</f>
        <v>круг</v>
      </c>
      <c r="C222" s="7" t="str">
        <f ca="1">IFERROR(__xludf.DUMMYFUNCTION("""COMPUTED_VALUE"""),"07х16н4Б")</f>
        <v>07х16н4Б</v>
      </c>
      <c r="D222" s="13">
        <f ca="1">IFERROR(__xludf.DUMMYFUNCTION("""COMPUTED_VALUE"""),100)</f>
        <v>100</v>
      </c>
      <c r="E222" s="13"/>
      <c r="F222" s="14" t="str">
        <f ca="1">IFERROR(__xludf.DUMMYFUNCTION("""COMPUTED_VALUE"""),"ту 14-1-3573-83, 2гп ")</f>
        <v xml:space="preserve">ту 14-1-3573-83, 2гп </v>
      </c>
      <c r="G222" s="15">
        <f ca="1">IFERROR(__xludf.DUMMYFUNCTION("""COMPUTED_VALUE"""),2)</f>
        <v>2</v>
      </c>
      <c r="H222" s="15"/>
      <c r="I222" s="16">
        <f ca="1">IFERROR(__xludf.DUMMYFUNCTION("""COMPUTED_VALUE"""),820000)</f>
        <v>820000</v>
      </c>
    </row>
    <row r="223" spans="2:9" x14ac:dyDescent="0.3">
      <c r="B223" s="12" t="str">
        <f ca="1">IFERROR(__xludf.DUMMYFUNCTION("""COMPUTED_VALUE"""),"круг")</f>
        <v>круг</v>
      </c>
      <c r="C223" s="7" t="str">
        <f ca="1">IFERROR(__xludf.DUMMYFUNCTION("""COMPUTED_VALUE"""),"07х16н4Б")</f>
        <v>07х16н4Б</v>
      </c>
      <c r="D223" s="13">
        <f ca="1">IFERROR(__xludf.DUMMYFUNCTION("""COMPUTED_VALUE"""),110)</f>
        <v>110</v>
      </c>
      <c r="E223" s="13"/>
      <c r="F223" s="14" t="str">
        <f ca="1">IFERROR(__xludf.DUMMYFUNCTION("""COMPUTED_VALUE"""),"ту 14-1-3573-83, 2гп ")</f>
        <v xml:space="preserve">ту 14-1-3573-83, 2гп </v>
      </c>
      <c r="G223" s="15">
        <f ca="1">IFERROR(__xludf.DUMMYFUNCTION("""COMPUTED_VALUE"""),3)</f>
        <v>3</v>
      </c>
      <c r="H223" s="15"/>
      <c r="I223" s="16">
        <f ca="1">IFERROR(__xludf.DUMMYFUNCTION("""COMPUTED_VALUE"""),820000)</f>
        <v>820000</v>
      </c>
    </row>
    <row r="224" spans="2:9" x14ac:dyDescent="0.3">
      <c r="B224" s="12" t="str">
        <f ca="1">IFERROR(__xludf.DUMMYFUNCTION("""COMPUTED_VALUE"""),"круг")</f>
        <v>круг</v>
      </c>
      <c r="C224" s="7" t="str">
        <f ca="1">IFERROR(__xludf.DUMMYFUNCTION("""COMPUTED_VALUE"""),"07х16н4Б-Ш")</f>
        <v>07х16н4Б-Ш</v>
      </c>
      <c r="D224" s="13">
        <f ca="1">IFERROR(__xludf.DUMMYFUNCTION("""COMPUTED_VALUE"""),120)</f>
        <v>120</v>
      </c>
      <c r="E224" s="13"/>
      <c r="F224" s="14" t="str">
        <f ca="1">IFERROR(__xludf.DUMMYFUNCTION("""COMPUTED_VALUE"""),"ту 14-1-3573-83, 2гп , УЗК РТТ")</f>
        <v>ту 14-1-3573-83, 2гп , УЗК РТТ</v>
      </c>
      <c r="G224" s="15">
        <f ca="1">IFERROR(__xludf.DUMMYFUNCTION("""COMPUTED_VALUE"""),1.21)</f>
        <v>1.21</v>
      </c>
      <c r="H224" s="15"/>
      <c r="I224" s="16">
        <f ca="1">IFERROR(__xludf.DUMMYFUNCTION("""COMPUTED_VALUE"""),1100000)</f>
        <v>1100000</v>
      </c>
    </row>
    <row r="225" spans="2:9" x14ac:dyDescent="0.3">
      <c r="B225" s="12" t="str">
        <f ca="1">IFERROR(__xludf.DUMMYFUNCTION("""COMPUTED_VALUE"""),"круг")</f>
        <v>круг</v>
      </c>
      <c r="C225" s="7" t="str">
        <f ca="1">IFERROR(__xludf.DUMMYFUNCTION("""COMPUTED_VALUE"""),"07х16н4Б")</f>
        <v>07х16н4Б</v>
      </c>
      <c r="D225" s="13">
        <f ca="1">IFERROR(__xludf.DUMMYFUNCTION("""COMPUTED_VALUE"""),130)</f>
        <v>130</v>
      </c>
      <c r="E225" s="13"/>
      <c r="F225" s="14" t="str">
        <f ca="1">IFERROR(__xludf.DUMMYFUNCTION("""COMPUTED_VALUE"""),"ту 14-1-3573-83, 2гп РТТ")</f>
        <v>ту 14-1-3573-83, 2гп РТТ</v>
      </c>
      <c r="G225" s="15">
        <f ca="1">IFERROR(__xludf.DUMMYFUNCTION("""COMPUTED_VALUE"""),0.139999999999999)</f>
        <v>0.13999999999999899</v>
      </c>
      <c r="H225" s="15"/>
      <c r="I225" s="16">
        <f ca="1">IFERROR(__xludf.DUMMYFUNCTION("""COMPUTED_VALUE"""),850000)</f>
        <v>850000</v>
      </c>
    </row>
    <row r="226" spans="2:9" x14ac:dyDescent="0.3">
      <c r="B226" s="12" t="str">
        <f ca="1">IFERROR(__xludf.DUMMYFUNCTION("""COMPUTED_VALUE"""),"круг")</f>
        <v>круг</v>
      </c>
      <c r="C226" s="7" t="str">
        <f ca="1">IFERROR(__xludf.DUMMYFUNCTION("""COMPUTED_VALUE"""),"07х16н4Б-Ш")</f>
        <v>07х16н4Б-Ш</v>
      </c>
      <c r="D226" s="13">
        <f ca="1">IFERROR(__xludf.DUMMYFUNCTION("""COMPUTED_VALUE"""),135)</f>
        <v>135</v>
      </c>
      <c r="E226" s="13"/>
      <c r="F226" s="14" t="str">
        <f ca="1">IFERROR(__xludf.DUMMYFUNCTION("""COMPUTED_VALUE"""),"ту 14-1-3573-83, 2гп , УЗК РТТ")</f>
        <v>ту 14-1-3573-83, 2гп , УЗК РТТ</v>
      </c>
      <c r="G226" s="15">
        <f ca="1">IFERROR(__xludf.DUMMYFUNCTION("""COMPUTED_VALUE"""),0.372)</f>
        <v>0.372</v>
      </c>
      <c r="H226" s="15"/>
      <c r="I226" s="16">
        <f ca="1">IFERROR(__xludf.DUMMYFUNCTION("""COMPUTED_VALUE"""),830000)</f>
        <v>830000</v>
      </c>
    </row>
    <row r="227" spans="2:9" x14ac:dyDescent="0.3">
      <c r="B227" s="12" t="str">
        <f ca="1">IFERROR(__xludf.DUMMYFUNCTION("""COMPUTED_VALUE"""),"круг")</f>
        <v>круг</v>
      </c>
      <c r="C227" s="7" t="str">
        <f ca="1">IFERROR(__xludf.DUMMYFUNCTION("""COMPUTED_VALUE"""),"07х16н4Б")</f>
        <v>07х16н4Б</v>
      </c>
      <c r="D227" s="13">
        <f ca="1">IFERROR(__xludf.DUMMYFUNCTION("""COMPUTED_VALUE"""),140)</f>
        <v>140</v>
      </c>
      <c r="E227" s="13"/>
      <c r="F227" s="14" t="str">
        <f ca="1">IFERROR(__xludf.DUMMYFUNCTION("""COMPUTED_VALUE"""),"ту 14-1-3573-83, 2гп ")</f>
        <v xml:space="preserve">ту 14-1-3573-83, 2гп </v>
      </c>
      <c r="G227" s="15">
        <f ca="1">IFERROR(__xludf.DUMMYFUNCTION("""COMPUTED_VALUE"""),0.0689999999999999)</f>
        <v>6.8999999999999895E-2</v>
      </c>
      <c r="H227" s="15"/>
      <c r="I227" s="16">
        <f ca="1">IFERROR(__xludf.DUMMYFUNCTION("""COMPUTED_VALUE"""),840000)</f>
        <v>840000</v>
      </c>
    </row>
    <row r="228" spans="2:9" x14ac:dyDescent="0.3">
      <c r="B228" s="12" t="str">
        <f ca="1">IFERROR(__xludf.DUMMYFUNCTION("""COMPUTED_VALUE"""),"круг")</f>
        <v>круг</v>
      </c>
      <c r="C228" s="7" t="str">
        <f ca="1">IFERROR(__xludf.DUMMYFUNCTION("""COMPUTED_VALUE"""),"07х16н4Б")</f>
        <v>07х16н4Б</v>
      </c>
      <c r="D228" s="13">
        <f ca="1">IFERROR(__xludf.DUMMYFUNCTION("""COMPUTED_VALUE"""),140)</f>
        <v>140</v>
      </c>
      <c r="E228" s="13"/>
      <c r="F228" s="14" t="str">
        <f ca="1">IFERROR(__xludf.DUMMYFUNCTION("""COMPUTED_VALUE"""),"ту 14-1-3573-83, 2гп ")</f>
        <v xml:space="preserve">ту 14-1-3573-83, 2гп </v>
      </c>
      <c r="G228" s="15">
        <f ca="1">IFERROR(__xludf.DUMMYFUNCTION("""COMPUTED_VALUE"""),1.058)</f>
        <v>1.0580000000000001</v>
      </c>
      <c r="H228" s="15"/>
      <c r="I228" s="16">
        <f ca="1">IFERROR(__xludf.DUMMYFUNCTION("""COMPUTED_VALUE"""),840000)</f>
        <v>840000</v>
      </c>
    </row>
    <row r="229" spans="2:9" x14ac:dyDescent="0.3">
      <c r="B229" s="12" t="str">
        <f ca="1">IFERROR(__xludf.DUMMYFUNCTION("""COMPUTED_VALUE"""),"круг")</f>
        <v>круг</v>
      </c>
      <c r="C229" s="7" t="str">
        <f ca="1">IFERROR(__xludf.DUMMYFUNCTION("""COMPUTED_VALUE"""),"07х16н4Б")</f>
        <v>07х16н4Б</v>
      </c>
      <c r="D229" s="13">
        <f ca="1">IFERROR(__xludf.DUMMYFUNCTION("""COMPUTED_VALUE"""),150)</f>
        <v>150</v>
      </c>
      <c r="E229" s="13"/>
      <c r="F229" s="14" t="str">
        <f ca="1">IFERROR(__xludf.DUMMYFUNCTION("""COMPUTED_VALUE"""),"ту 14-1-3573-83, 2гп ")</f>
        <v xml:space="preserve">ту 14-1-3573-83, 2гп </v>
      </c>
      <c r="G229" s="15">
        <f ca="1">IFERROR(__xludf.DUMMYFUNCTION("""COMPUTED_VALUE"""),3)</f>
        <v>3</v>
      </c>
      <c r="H229" s="15"/>
      <c r="I229" s="16">
        <f ca="1">IFERROR(__xludf.DUMMYFUNCTION("""COMPUTED_VALUE"""),820000)</f>
        <v>820000</v>
      </c>
    </row>
    <row r="230" spans="2:9" x14ac:dyDescent="0.3">
      <c r="B230" s="12" t="str">
        <f ca="1">IFERROR(__xludf.DUMMYFUNCTION("""COMPUTED_VALUE"""),"круг")</f>
        <v>круг</v>
      </c>
      <c r="C230" s="7" t="str">
        <f ca="1">IFERROR(__xludf.DUMMYFUNCTION("""COMPUTED_VALUE"""),"07х16н4Б")</f>
        <v>07х16н4Б</v>
      </c>
      <c r="D230" s="13">
        <f ca="1">IFERROR(__xludf.DUMMYFUNCTION("""COMPUTED_VALUE"""),160)</f>
        <v>160</v>
      </c>
      <c r="E230" s="13"/>
      <c r="F230" s="14" t="str">
        <f ca="1">IFERROR(__xludf.DUMMYFUNCTION("""COMPUTED_VALUE"""),"ту 14-1-3573-83, АТП , УЗК, 2гп ")</f>
        <v xml:space="preserve">ту 14-1-3573-83, АТП , УЗК, 2гп </v>
      </c>
      <c r="G230" s="15">
        <f ca="1">IFERROR(__xludf.DUMMYFUNCTION("""COMPUTED_VALUE"""),0.0829999999999997)</f>
        <v>8.2999999999999699E-2</v>
      </c>
      <c r="H230" s="15"/>
      <c r="I230" s="16">
        <f ca="1">IFERROR(__xludf.DUMMYFUNCTION("""COMPUTED_VALUE"""),870000)</f>
        <v>870000</v>
      </c>
    </row>
    <row r="231" spans="2:9" x14ac:dyDescent="0.3">
      <c r="B231" s="12" t="str">
        <f ca="1">IFERROR(__xludf.DUMMYFUNCTION("""COMPUTED_VALUE"""),"круг")</f>
        <v>круг</v>
      </c>
      <c r="C231" s="7" t="str">
        <f ca="1">IFERROR(__xludf.DUMMYFUNCTION("""COMPUTED_VALUE"""),"07х16н4Б")</f>
        <v>07х16н4Б</v>
      </c>
      <c r="D231" s="13">
        <f ca="1">IFERROR(__xludf.DUMMYFUNCTION("""COMPUTED_VALUE"""),160)</f>
        <v>160</v>
      </c>
      <c r="E231" s="13"/>
      <c r="F231" s="14" t="str">
        <f ca="1">IFERROR(__xludf.DUMMYFUNCTION("""COMPUTED_VALUE"""),"ту 14-1-3573-83, 2гп ")</f>
        <v xml:space="preserve">ту 14-1-3573-83, 2гп </v>
      </c>
      <c r="G231" s="15">
        <f ca="1">IFERROR(__xludf.DUMMYFUNCTION("""COMPUTED_VALUE"""),0.139)</f>
        <v>0.13900000000000001</v>
      </c>
      <c r="H231" s="15"/>
      <c r="I231" s="16">
        <f ca="1">IFERROR(__xludf.DUMMYFUNCTION("""COMPUTED_VALUE"""),870000)</f>
        <v>870000</v>
      </c>
    </row>
    <row r="232" spans="2:9" x14ac:dyDescent="0.3">
      <c r="B232" s="12" t="str">
        <f ca="1">IFERROR(__xludf.DUMMYFUNCTION("""COMPUTED_VALUE"""),"круг")</f>
        <v>круг</v>
      </c>
      <c r="C232" s="7" t="str">
        <f ca="1">IFERROR(__xludf.DUMMYFUNCTION("""COMPUTED_VALUE"""),"07х16н4Б")</f>
        <v>07х16н4Б</v>
      </c>
      <c r="D232" s="13">
        <f ca="1">IFERROR(__xludf.DUMMYFUNCTION("""COMPUTED_VALUE"""),160)</f>
        <v>160</v>
      </c>
      <c r="E232" s="13"/>
      <c r="F232" s="14" t="str">
        <f ca="1">IFERROR(__xludf.DUMMYFUNCTION("""COMPUTED_VALUE"""),"ту 14-1-3573-83, 2гп ")</f>
        <v xml:space="preserve">ту 14-1-3573-83, 2гп </v>
      </c>
      <c r="G232" s="15">
        <f ca="1">IFERROR(__xludf.DUMMYFUNCTION("""COMPUTED_VALUE"""),0.184)</f>
        <v>0.184</v>
      </c>
      <c r="H232" s="15"/>
      <c r="I232" s="16">
        <f ca="1">IFERROR(__xludf.DUMMYFUNCTION("""COMPUTED_VALUE"""),870000)</f>
        <v>870000</v>
      </c>
    </row>
    <row r="233" spans="2:9" x14ac:dyDescent="0.3">
      <c r="B233" s="12" t="str">
        <f ca="1">IFERROR(__xludf.DUMMYFUNCTION("""COMPUTED_VALUE"""),"круг")</f>
        <v>круг</v>
      </c>
      <c r="C233" s="7" t="str">
        <f ca="1">IFERROR(__xludf.DUMMYFUNCTION("""COMPUTED_VALUE"""),"07х16н4Б")</f>
        <v>07х16н4Б</v>
      </c>
      <c r="D233" s="13">
        <f ca="1">IFERROR(__xludf.DUMMYFUNCTION("""COMPUTED_VALUE"""),160)</f>
        <v>160</v>
      </c>
      <c r="E233" s="13"/>
      <c r="F233" s="14" t="str">
        <f ca="1">IFERROR(__xludf.DUMMYFUNCTION("""COMPUTED_VALUE"""),"ту 14-1-3573-83, 2гп ")</f>
        <v xml:space="preserve">ту 14-1-3573-83, 2гп </v>
      </c>
      <c r="G233" s="15">
        <f ca="1">IFERROR(__xludf.DUMMYFUNCTION("""COMPUTED_VALUE"""),1.188)</f>
        <v>1.1879999999999999</v>
      </c>
      <c r="H233" s="15"/>
      <c r="I233" s="16">
        <f ca="1">IFERROR(__xludf.DUMMYFUNCTION("""COMPUTED_VALUE"""),820000)</f>
        <v>820000</v>
      </c>
    </row>
    <row r="234" spans="2:9" x14ac:dyDescent="0.3">
      <c r="B234" s="12" t="str">
        <f ca="1">IFERROR(__xludf.DUMMYFUNCTION("""COMPUTED_VALUE"""),"круг")</f>
        <v>круг</v>
      </c>
      <c r="C234" s="7" t="str">
        <f ca="1">IFERROR(__xludf.DUMMYFUNCTION("""COMPUTED_VALUE"""),"07х16н4Б")</f>
        <v>07х16н4Б</v>
      </c>
      <c r="D234" s="13">
        <f ca="1">IFERROR(__xludf.DUMMYFUNCTION("""COMPUTED_VALUE"""),160)</f>
        <v>160</v>
      </c>
      <c r="E234" s="13"/>
      <c r="F234" s="14" t="str">
        <f ca="1">IFERROR(__xludf.DUMMYFUNCTION("""COMPUTED_VALUE"""),"ту 14-1-3573-83, 2гп ")</f>
        <v xml:space="preserve">ту 14-1-3573-83, 2гп </v>
      </c>
      <c r="G234" s="15">
        <f ca="1">IFERROR(__xludf.DUMMYFUNCTION("""COMPUTED_VALUE"""),1.505)</f>
        <v>1.5049999999999999</v>
      </c>
      <c r="H234" s="15"/>
      <c r="I234" s="16">
        <f ca="1">IFERROR(__xludf.DUMMYFUNCTION("""COMPUTED_VALUE"""),820000)</f>
        <v>820000</v>
      </c>
    </row>
    <row r="235" spans="2:9" x14ac:dyDescent="0.3">
      <c r="B235" s="12" t="str">
        <f ca="1">IFERROR(__xludf.DUMMYFUNCTION("""COMPUTED_VALUE"""),"круг")</f>
        <v>круг</v>
      </c>
      <c r="C235" s="7" t="str">
        <f ca="1">IFERROR(__xludf.DUMMYFUNCTION("""COMPUTED_VALUE"""),"07х16н4Б")</f>
        <v>07х16н4Б</v>
      </c>
      <c r="D235" s="13">
        <f ca="1">IFERROR(__xludf.DUMMYFUNCTION("""COMPUTED_VALUE"""),170)</f>
        <v>170</v>
      </c>
      <c r="E235" s="13"/>
      <c r="F235" s="14" t="str">
        <f ca="1">IFERROR(__xludf.DUMMYFUNCTION("""COMPUTED_VALUE"""),"ту 14-1-3573-83, 2гп ")</f>
        <v xml:space="preserve">ту 14-1-3573-83, 2гп </v>
      </c>
      <c r="G235" s="15">
        <f ca="1">IFERROR(__xludf.DUMMYFUNCTION("""COMPUTED_VALUE"""),2.62099999999999)</f>
        <v>2.6209999999999898</v>
      </c>
      <c r="H235" s="15"/>
      <c r="I235" s="16">
        <f ca="1">IFERROR(__xludf.DUMMYFUNCTION("""COMPUTED_VALUE"""),840000)</f>
        <v>840000</v>
      </c>
    </row>
    <row r="236" spans="2:9" x14ac:dyDescent="0.3">
      <c r="B236" s="12" t="str">
        <f ca="1">IFERROR(__xludf.DUMMYFUNCTION("""COMPUTED_VALUE"""),"круг")</f>
        <v>круг</v>
      </c>
      <c r="C236" s="7" t="str">
        <f ca="1">IFERROR(__xludf.DUMMYFUNCTION("""COMPUTED_VALUE"""),"07х16н4Б")</f>
        <v>07х16н4Б</v>
      </c>
      <c r="D236" s="13">
        <f ca="1">IFERROR(__xludf.DUMMYFUNCTION("""COMPUTED_VALUE"""),180)</f>
        <v>180</v>
      </c>
      <c r="E236" s="13"/>
      <c r="F236" s="14" t="str">
        <f ca="1">IFERROR(__xludf.DUMMYFUNCTION("""COMPUTED_VALUE"""),"ту 14-1-3573-83, 2гп ")</f>
        <v xml:space="preserve">ту 14-1-3573-83, 2гп </v>
      </c>
      <c r="G236" s="15">
        <f ca="1">IFERROR(__xludf.DUMMYFUNCTION("""COMPUTED_VALUE"""),3)</f>
        <v>3</v>
      </c>
      <c r="H236" s="15"/>
      <c r="I236" s="16">
        <f ca="1">IFERROR(__xludf.DUMMYFUNCTION("""COMPUTED_VALUE"""),820000)</f>
        <v>820000</v>
      </c>
    </row>
    <row r="237" spans="2:9" x14ac:dyDescent="0.3">
      <c r="B237" s="12" t="str">
        <f ca="1">IFERROR(__xludf.DUMMYFUNCTION("""COMPUTED_VALUE"""),"круг")</f>
        <v>круг</v>
      </c>
      <c r="C237" s="7" t="str">
        <f ca="1">IFERROR(__xludf.DUMMYFUNCTION("""COMPUTED_VALUE"""),"07х16н4Б")</f>
        <v>07х16н4Б</v>
      </c>
      <c r="D237" s="13">
        <f ca="1">IFERROR(__xludf.DUMMYFUNCTION("""COMPUTED_VALUE"""),180)</f>
        <v>180</v>
      </c>
      <c r="E237" s="13"/>
      <c r="F237" s="14" t="str">
        <f ca="1">IFERROR(__xludf.DUMMYFUNCTION("""COMPUTED_VALUE"""),"ту 14-1-3573-83, 2гп ")</f>
        <v xml:space="preserve">ту 14-1-3573-83, 2гп </v>
      </c>
      <c r="G237" s="15">
        <f ca="1">IFERROR(__xludf.DUMMYFUNCTION("""COMPUTED_VALUE"""),0.04)</f>
        <v>0.04</v>
      </c>
      <c r="H237" s="15"/>
      <c r="I237" s="16">
        <f ca="1">IFERROR(__xludf.DUMMYFUNCTION("""COMPUTED_VALUE"""),840000)</f>
        <v>840000</v>
      </c>
    </row>
    <row r="238" spans="2:9" x14ac:dyDescent="0.3">
      <c r="B238" s="12" t="str">
        <f ca="1">IFERROR(__xludf.DUMMYFUNCTION("""COMPUTED_VALUE"""),"круг")</f>
        <v>круг</v>
      </c>
      <c r="C238" s="7" t="str">
        <f ca="1">IFERROR(__xludf.DUMMYFUNCTION("""COMPUTED_VALUE"""),"07х16н4Б")</f>
        <v>07х16н4Б</v>
      </c>
      <c r="D238" s="13">
        <f ca="1">IFERROR(__xludf.DUMMYFUNCTION("""COMPUTED_VALUE"""),180)</f>
        <v>180</v>
      </c>
      <c r="E238" s="13"/>
      <c r="F238" s="14" t="str">
        <f ca="1">IFERROR(__xludf.DUMMYFUNCTION("""COMPUTED_VALUE"""),"ту 14-1-3573-83, 2гп ")</f>
        <v xml:space="preserve">ту 14-1-3573-83, 2гп </v>
      </c>
      <c r="G238" s="15">
        <f ca="1">IFERROR(__xludf.DUMMYFUNCTION("""COMPUTED_VALUE"""),0.169999999999999)</f>
        <v>0.16999999999999901</v>
      </c>
      <c r="H238" s="15"/>
      <c r="I238" s="16">
        <f ca="1">IFERROR(__xludf.DUMMYFUNCTION("""COMPUTED_VALUE"""),840000)</f>
        <v>840000</v>
      </c>
    </row>
    <row r="239" spans="2:9" x14ac:dyDescent="0.3">
      <c r="B239" s="12" t="str">
        <f ca="1">IFERROR(__xludf.DUMMYFUNCTION("""COMPUTED_VALUE"""),"круг")</f>
        <v>круг</v>
      </c>
      <c r="C239" s="7" t="str">
        <f ca="1">IFERROR(__xludf.DUMMYFUNCTION("""COMPUTED_VALUE"""),"07х16н4Б")</f>
        <v>07х16н4Б</v>
      </c>
      <c r="D239" s="13">
        <f ca="1">IFERROR(__xludf.DUMMYFUNCTION("""COMPUTED_VALUE"""),180)</f>
        <v>180</v>
      </c>
      <c r="E239" s="13"/>
      <c r="F239" s="14" t="str">
        <f ca="1">IFERROR(__xludf.DUMMYFUNCTION("""COMPUTED_VALUE"""),"ту 14-1-3573-83, 2гп ")</f>
        <v xml:space="preserve">ту 14-1-3573-83, 2гп </v>
      </c>
      <c r="G239" s="15">
        <f ca="1">IFERROR(__xludf.DUMMYFUNCTION("""COMPUTED_VALUE"""),0.153)</f>
        <v>0.153</v>
      </c>
      <c r="H239" s="15"/>
      <c r="I239" s="16">
        <f ca="1">IFERROR(__xludf.DUMMYFUNCTION("""COMPUTED_VALUE"""),840000)</f>
        <v>840000</v>
      </c>
    </row>
    <row r="240" spans="2:9" x14ac:dyDescent="0.3">
      <c r="B240" s="12" t="str">
        <f ca="1">IFERROR(__xludf.DUMMYFUNCTION("""COMPUTED_VALUE"""),"круг")</f>
        <v>круг</v>
      </c>
      <c r="C240" s="7" t="str">
        <f ca="1">IFERROR(__xludf.DUMMYFUNCTION("""COMPUTED_VALUE"""),"07х16н4Б")</f>
        <v>07х16н4Б</v>
      </c>
      <c r="D240" s="13">
        <f ca="1">IFERROR(__xludf.DUMMYFUNCTION("""COMPUTED_VALUE"""),190)</f>
        <v>190</v>
      </c>
      <c r="E240" s="13"/>
      <c r="F240" s="14" t="str">
        <f ca="1">IFERROR(__xludf.DUMMYFUNCTION("""COMPUTED_VALUE"""),"ту 14-1-3573-83, 2гп ")</f>
        <v xml:space="preserve">ту 14-1-3573-83, 2гп </v>
      </c>
      <c r="G240" s="15">
        <f ca="1">IFERROR(__xludf.DUMMYFUNCTION("""COMPUTED_VALUE"""),3)</f>
        <v>3</v>
      </c>
      <c r="H240" s="15"/>
      <c r="I240" s="16">
        <f ca="1">IFERROR(__xludf.DUMMYFUNCTION("""COMPUTED_VALUE"""),820000)</f>
        <v>820000</v>
      </c>
    </row>
    <row r="241" spans="2:9" x14ac:dyDescent="0.3">
      <c r="B241" s="12" t="str">
        <f ca="1">IFERROR(__xludf.DUMMYFUNCTION("""COMPUTED_VALUE"""),"круг")</f>
        <v>круг</v>
      </c>
      <c r="C241" s="7" t="str">
        <f ca="1">IFERROR(__xludf.DUMMYFUNCTION("""COMPUTED_VALUE"""),"07х16н4Б")</f>
        <v>07х16н4Б</v>
      </c>
      <c r="D241" s="13">
        <f ca="1">IFERROR(__xludf.DUMMYFUNCTION("""COMPUTED_VALUE"""),200)</f>
        <v>200</v>
      </c>
      <c r="E241" s="13"/>
      <c r="F241" s="14" t="str">
        <f ca="1">IFERROR(__xludf.DUMMYFUNCTION("""COMPUTED_VALUE"""),"ту 14-1-3573-83, 2гп ")</f>
        <v xml:space="preserve">ту 14-1-3573-83, 2гп </v>
      </c>
      <c r="G241" s="15">
        <f ca="1">IFERROR(__xludf.DUMMYFUNCTION("""COMPUTED_VALUE"""),0.25)</f>
        <v>0.25</v>
      </c>
      <c r="H241" s="15"/>
      <c r="I241" s="16">
        <f ca="1">IFERROR(__xludf.DUMMYFUNCTION("""COMPUTED_VALUE"""),820000)</f>
        <v>820000</v>
      </c>
    </row>
    <row r="242" spans="2:9" x14ac:dyDescent="0.3">
      <c r="B242" s="12" t="str">
        <f ca="1">IFERROR(__xludf.DUMMYFUNCTION("""COMPUTED_VALUE"""),"круг")</f>
        <v>круг</v>
      </c>
      <c r="C242" s="7" t="str">
        <f ca="1">IFERROR(__xludf.DUMMYFUNCTION("""COMPUTED_VALUE"""),"07х16н4Б")</f>
        <v>07х16н4Б</v>
      </c>
      <c r="D242" s="13">
        <f ca="1">IFERROR(__xludf.DUMMYFUNCTION("""COMPUTED_VALUE"""),200)</f>
        <v>200</v>
      </c>
      <c r="E242" s="13"/>
      <c r="F242" s="14" t="str">
        <f ca="1">IFERROR(__xludf.DUMMYFUNCTION("""COMPUTED_VALUE"""),"ту 14-1-3573-83, АТП , УЗК, 2гп ")</f>
        <v xml:space="preserve">ту 14-1-3573-83, АТП , УЗК, 2гп </v>
      </c>
      <c r="G242" s="15">
        <f ca="1">IFERROR(__xludf.DUMMYFUNCTION("""COMPUTED_VALUE"""),0.037)</f>
        <v>3.6999999999999998E-2</v>
      </c>
      <c r="H242" s="15"/>
      <c r="I242" s="16">
        <f ca="1">IFERROR(__xludf.DUMMYFUNCTION("""COMPUTED_VALUE"""),870000)</f>
        <v>870000</v>
      </c>
    </row>
    <row r="243" spans="2:9" x14ac:dyDescent="0.3">
      <c r="B243" s="12" t="str">
        <f ca="1">IFERROR(__xludf.DUMMYFUNCTION("""COMPUTED_VALUE"""),"круг")</f>
        <v>круг</v>
      </c>
      <c r="C243" s="7" t="str">
        <f ca="1">IFERROR(__xludf.DUMMYFUNCTION("""COMPUTED_VALUE"""),"07х16н4Б")</f>
        <v>07х16н4Б</v>
      </c>
      <c r="D243" s="13">
        <f ca="1">IFERROR(__xludf.DUMMYFUNCTION("""COMPUTED_VALUE"""),210)</f>
        <v>210</v>
      </c>
      <c r="E243" s="13"/>
      <c r="F243" s="14" t="str">
        <f ca="1">IFERROR(__xludf.DUMMYFUNCTION("""COMPUTED_VALUE"""),"ГОСТ 5632/25054,  УЗК,обточ, ков")</f>
        <v>ГОСТ 5632/25054,  УЗК,обточ, ков</v>
      </c>
      <c r="G243" s="15">
        <f ca="1">IFERROR(__xludf.DUMMYFUNCTION("""COMPUTED_VALUE"""),0.039)</f>
        <v>3.9E-2</v>
      </c>
      <c r="H243" s="15"/>
      <c r="I243" s="16">
        <f ca="1">IFERROR(__xludf.DUMMYFUNCTION("""COMPUTED_VALUE"""),1025000)</f>
        <v>1025000</v>
      </c>
    </row>
    <row r="244" spans="2:9" x14ac:dyDescent="0.3">
      <c r="B244" s="12" t="str">
        <f ca="1">IFERROR(__xludf.DUMMYFUNCTION("""COMPUTED_VALUE"""),"круг")</f>
        <v>круг</v>
      </c>
      <c r="C244" s="7" t="str">
        <f ca="1">IFERROR(__xludf.DUMMYFUNCTION("""COMPUTED_VALUE"""),"07х16н4Б-Ш")</f>
        <v>07х16н4Б-Ш</v>
      </c>
      <c r="D244" s="13">
        <f ca="1">IFERROR(__xludf.DUMMYFUNCTION("""COMPUTED_VALUE"""),210)</f>
        <v>210</v>
      </c>
      <c r="E244" s="13"/>
      <c r="F244" s="14" t="str">
        <f ca="1">IFERROR(__xludf.DUMMYFUNCTION("""COMPUTED_VALUE"""),"ГОСТ 5632/25054,  УЗК,обточ, ков")</f>
        <v>ГОСТ 5632/25054,  УЗК,обточ, ков</v>
      </c>
      <c r="G244" s="15">
        <f ca="1">IFERROR(__xludf.DUMMYFUNCTION("""COMPUTED_VALUE"""),0.865)</f>
        <v>0.86499999999999999</v>
      </c>
      <c r="H244" s="15"/>
      <c r="I244" s="16">
        <f ca="1">IFERROR(__xludf.DUMMYFUNCTION("""COMPUTED_VALUE"""),1200000)</f>
        <v>1200000</v>
      </c>
    </row>
    <row r="245" spans="2:9" x14ac:dyDescent="0.3">
      <c r="B245" s="12" t="str">
        <f ca="1">IFERROR(__xludf.DUMMYFUNCTION("""COMPUTED_VALUE"""),"круг")</f>
        <v>круг</v>
      </c>
      <c r="C245" s="7" t="str">
        <f ca="1">IFERROR(__xludf.DUMMYFUNCTION("""COMPUTED_VALUE"""),"07х16н4Б-Ш")</f>
        <v>07х16н4Б-Ш</v>
      </c>
      <c r="D245" s="13">
        <f ca="1">IFERROR(__xludf.DUMMYFUNCTION("""COMPUTED_VALUE"""),210)</f>
        <v>210</v>
      </c>
      <c r="E245" s="13"/>
      <c r="F245" s="14" t="str">
        <f ca="1">IFERROR(__xludf.DUMMYFUNCTION("""COMPUTED_VALUE"""),"ГОСТ 5632/25054,  УЗК,обточ, ков")</f>
        <v>ГОСТ 5632/25054,  УЗК,обточ, ков</v>
      </c>
      <c r="G245" s="15">
        <f ca="1">IFERROR(__xludf.DUMMYFUNCTION("""COMPUTED_VALUE"""),0.885)</f>
        <v>0.88500000000000001</v>
      </c>
      <c r="H245" s="15"/>
      <c r="I245" s="16">
        <f ca="1">IFERROR(__xludf.DUMMYFUNCTION("""COMPUTED_VALUE"""),1200000)</f>
        <v>1200000</v>
      </c>
    </row>
    <row r="246" spans="2:9" x14ac:dyDescent="0.3">
      <c r="B246" s="12" t="str">
        <f ca="1">IFERROR(__xludf.DUMMYFUNCTION("""COMPUTED_VALUE"""),"круг")</f>
        <v>круг</v>
      </c>
      <c r="C246" s="7" t="str">
        <f ca="1">IFERROR(__xludf.DUMMYFUNCTION("""COMPUTED_VALUE"""),"07х16н4Б-Ш")</f>
        <v>07х16н4Б-Ш</v>
      </c>
      <c r="D246" s="13">
        <f ca="1">IFERROR(__xludf.DUMMYFUNCTION("""COMPUTED_VALUE"""),220)</f>
        <v>220</v>
      </c>
      <c r="E246" s="13"/>
      <c r="F246" s="14" t="str">
        <f ca="1">IFERROR(__xludf.DUMMYFUNCTION("""COMPUTED_VALUE"""),"ГОСТ 5632/25054,  УЗК,обточ, ков")</f>
        <v>ГОСТ 5632/25054,  УЗК,обточ, ков</v>
      </c>
      <c r="G246" s="15">
        <f ca="1">IFERROR(__xludf.DUMMYFUNCTION("""COMPUTED_VALUE"""),1.27)</f>
        <v>1.27</v>
      </c>
      <c r="H246" s="15"/>
      <c r="I246" s="16">
        <f ca="1">IFERROR(__xludf.DUMMYFUNCTION("""COMPUTED_VALUE"""),1200000)</f>
        <v>1200000</v>
      </c>
    </row>
    <row r="247" spans="2:9" x14ac:dyDescent="0.3">
      <c r="B247" s="12" t="str">
        <f ca="1">IFERROR(__xludf.DUMMYFUNCTION("""COMPUTED_VALUE"""),"круг")</f>
        <v>круг</v>
      </c>
      <c r="C247" s="7" t="str">
        <f ca="1">IFERROR(__xludf.DUMMYFUNCTION("""COMPUTED_VALUE"""),"07х16н4Б-Ш")</f>
        <v>07х16н4Б-Ш</v>
      </c>
      <c r="D247" s="13">
        <f ca="1">IFERROR(__xludf.DUMMYFUNCTION("""COMPUTED_VALUE"""),220)</f>
        <v>220</v>
      </c>
      <c r="E247" s="13"/>
      <c r="F247" s="14" t="str">
        <f ca="1">IFERROR(__xludf.DUMMYFUNCTION("""COMPUTED_VALUE"""),"ГОСТ 5632/25054,  УЗК,обточ, ков")</f>
        <v>ГОСТ 5632/25054,  УЗК,обточ, ков</v>
      </c>
      <c r="G247" s="15">
        <f ca="1">IFERROR(__xludf.DUMMYFUNCTION("""COMPUTED_VALUE"""),1.36)</f>
        <v>1.36</v>
      </c>
      <c r="H247" s="15"/>
      <c r="I247" s="16">
        <f ca="1">IFERROR(__xludf.DUMMYFUNCTION("""COMPUTED_VALUE"""),1200000)</f>
        <v>1200000</v>
      </c>
    </row>
    <row r="248" spans="2:9" x14ac:dyDescent="0.3">
      <c r="B248" s="12" t="str">
        <f ca="1">IFERROR(__xludf.DUMMYFUNCTION("""COMPUTED_VALUE"""),"круг")</f>
        <v>круг</v>
      </c>
      <c r="C248" s="7" t="str">
        <f ca="1">IFERROR(__xludf.DUMMYFUNCTION("""COMPUTED_VALUE"""),"07х16н4Б")</f>
        <v>07х16н4Б</v>
      </c>
      <c r="D248" s="13">
        <f ca="1">IFERROR(__xludf.DUMMYFUNCTION("""COMPUTED_VALUE"""),225)</f>
        <v>225</v>
      </c>
      <c r="E248" s="13"/>
      <c r="F248" s="14" t="str">
        <f ca="1">IFERROR(__xludf.DUMMYFUNCTION("""COMPUTED_VALUE"""),"ГОСТ 5632/25054,  УЗК,обточ, ков")</f>
        <v>ГОСТ 5632/25054,  УЗК,обточ, ков</v>
      </c>
      <c r="G248" s="15">
        <f ca="1">IFERROR(__xludf.DUMMYFUNCTION("""COMPUTED_VALUE"""),0.607)</f>
        <v>0.60699999999999998</v>
      </c>
      <c r="H248" s="15"/>
      <c r="I248" s="16">
        <f ca="1">IFERROR(__xludf.DUMMYFUNCTION("""COMPUTED_VALUE"""),950000)</f>
        <v>950000</v>
      </c>
    </row>
    <row r="249" spans="2:9" x14ac:dyDescent="0.3">
      <c r="B249" s="12" t="str">
        <f ca="1">IFERROR(__xludf.DUMMYFUNCTION("""COMPUTED_VALUE"""),"круг")</f>
        <v>круг</v>
      </c>
      <c r="C249" s="7" t="str">
        <f ca="1">IFERROR(__xludf.DUMMYFUNCTION("""COMPUTED_VALUE"""),"07х16н4Б")</f>
        <v>07х16н4Б</v>
      </c>
      <c r="D249" s="13">
        <f ca="1">IFERROR(__xludf.DUMMYFUNCTION("""COMPUTED_VALUE"""),230)</f>
        <v>230</v>
      </c>
      <c r="E249" s="13"/>
      <c r="F249" s="14" t="str">
        <f ca="1">IFERROR(__xludf.DUMMYFUNCTION("""COMPUTED_VALUE"""),"ГОСТ 5632/25054,  УЗК,обточ, ков")</f>
        <v>ГОСТ 5632/25054,  УЗК,обточ, ков</v>
      </c>
      <c r="G249" s="15">
        <f ca="1">IFERROR(__xludf.DUMMYFUNCTION("""COMPUTED_VALUE"""),0.695)</f>
        <v>0.69499999999999995</v>
      </c>
      <c r="H249" s="15"/>
      <c r="I249" s="16">
        <f ca="1">IFERROR(__xludf.DUMMYFUNCTION("""COMPUTED_VALUE"""),950000)</f>
        <v>950000</v>
      </c>
    </row>
    <row r="250" spans="2:9" x14ac:dyDescent="0.3">
      <c r="B250" s="12" t="str">
        <f ca="1">IFERROR(__xludf.DUMMYFUNCTION("""COMPUTED_VALUE"""),"круг")</f>
        <v>круг</v>
      </c>
      <c r="C250" s="7" t="str">
        <f ca="1">IFERROR(__xludf.DUMMYFUNCTION("""COMPUTED_VALUE"""),"07х16н4Б")</f>
        <v>07х16н4Б</v>
      </c>
      <c r="D250" s="13">
        <f ca="1">IFERROR(__xludf.DUMMYFUNCTION("""COMPUTED_VALUE"""),230)</f>
        <v>230</v>
      </c>
      <c r="E250" s="13"/>
      <c r="F250" s="14" t="str">
        <f ca="1">IFERROR(__xludf.DUMMYFUNCTION("""COMPUTED_VALUE"""),"ГОСТ 5632/25054,  УЗК,обточ, ков")</f>
        <v>ГОСТ 5632/25054,  УЗК,обточ, ков</v>
      </c>
      <c r="G250" s="15">
        <f ca="1">IFERROR(__xludf.DUMMYFUNCTION("""COMPUTED_VALUE"""),2.303)</f>
        <v>2.3029999999999999</v>
      </c>
      <c r="H250" s="15"/>
      <c r="I250" s="16">
        <f ca="1">IFERROR(__xludf.DUMMYFUNCTION("""COMPUTED_VALUE"""),950000)</f>
        <v>950000</v>
      </c>
    </row>
    <row r="251" spans="2:9" x14ac:dyDescent="0.3">
      <c r="B251" s="12" t="str">
        <f ca="1">IFERROR(__xludf.DUMMYFUNCTION("""COMPUTED_VALUE"""),"круг")</f>
        <v>круг</v>
      </c>
      <c r="C251" s="7" t="str">
        <f ca="1">IFERROR(__xludf.DUMMYFUNCTION("""COMPUTED_VALUE"""),"07х16н4Б-Ш")</f>
        <v>07х16н4Б-Ш</v>
      </c>
      <c r="D251" s="13">
        <f ca="1">IFERROR(__xludf.DUMMYFUNCTION("""COMPUTED_VALUE"""),230)</f>
        <v>230</v>
      </c>
      <c r="E251" s="13"/>
      <c r="F251" s="14" t="str">
        <f ca="1">IFERROR(__xludf.DUMMYFUNCTION("""COMPUTED_VALUE"""),"ГОСТ 5632/25054,  УЗК,обточ, ков")</f>
        <v>ГОСТ 5632/25054,  УЗК,обточ, ков</v>
      </c>
      <c r="G251" s="15">
        <f ca="1">IFERROR(__xludf.DUMMYFUNCTION("""COMPUTED_VALUE"""),1.24)</f>
        <v>1.24</v>
      </c>
      <c r="H251" s="15"/>
      <c r="I251" s="16">
        <f ca="1">IFERROR(__xludf.DUMMYFUNCTION("""COMPUTED_VALUE"""),1200000)</f>
        <v>1200000</v>
      </c>
    </row>
    <row r="252" spans="2:9" x14ac:dyDescent="0.3">
      <c r="B252" s="12" t="str">
        <f ca="1">IFERROR(__xludf.DUMMYFUNCTION("""COMPUTED_VALUE"""),"круг")</f>
        <v>круг</v>
      </c>
      <c r="C252" s="7" t="str">
        <f ca="1">IFERROR(__xludf.DUMMYFUNCTION("""COMPUTED_VALUE"""),"07х16н4Б-Ш")</f>
        <v>07х16н4Б-Ш</v>
      </c>
      <c r="D252" s="13">
        <f ca="1">IFERROR(__xludf.DUMMYFUNCTION("""COMPUTED_VALUE"""),230)</f>
        <v>230</v>
      </c>
      <c r="E252" s="13"/>
      <c r="F252" s="14" t="str">
        <f ca="1">IFERROR(__xludf.DUMMYFUNCTION("""COMPUTED_VALUE"""),"ГОСТ 5632/25054,  УЗК,обточ, ков")</f>
        <v>ГОСТ 5632/25054,  УЗК,обточ, ков</v>
      </c>
      <c r="G252" s="15">
        <f ca="1">IFERROR(__xludf.DUMMYFUNCTION("""COMPUTED_VALUE"""),1.635)</f>
        <v>1.635</v>
      </c>
      <c r="H252" s="15"/>
      <c r="I252" s="16">
        <f ca="1">IFERROR(__xludf.DUMMYFUNCTION("""COMPUTED_VALUE"""),1200000)</f>
        <v>1200000</v>
      </c>
    </row>
    <row r="253" spans="2:9" x14ac:dyDescent="0.3">
      <c r="B253" s="12" t="str">
        <f ca="1">IFERROR(__xludf.DUMMYFUNCTION("""COMPUTED_VALUE"""),"круг")</f>
        <v>круг</v>
      </c>
      <c r="C253" s="7" t="str">
        <f ca="1">IFERROR(__xludf.DUMMYFUNCTION("""COMPUTED_VALUE"""),"07х16н4Б-Ш")</f>
        <v>07х16н4Б-Ш</v>
      </c>
      <c r="D253" s="13">
        <f ca="1">IFERROR(__xludf.DUMMYFUNCTION("""COMPUTED_VALUE"""),240)</f>
        <v>240</v>
      </c>
      <c r="E253" s="13"/>
      <c r="F253" s="14" t="str">
        <f ca="1">IFERROR(__xludf.DUMMYFUNCTION("""COMPUTED_VALUE"""),"ГОСТ 5632/25054,  УЗК,обточ, ков")</f>
        <v>ГОСТ 5632/25054,  УЗК,обточ, ков</v>
      </c>
      <c r="G253" s="15">
        <f ca="1">IFERROR(__xludf.DUMMYFUNCTION("""COMPUTED_VALUE"""),1.551)</f>
        <v>1.5509999999999999</v>
      </c>
      <c r="H253" s="15"/>
      <c r="I253" s="16">
        <f ca="1">IFERROR(__xludf.DUMMYFUNCTION("""COMPUTED_VALUE"""),1200000)</f>
        <v>1200000</v>
      </c>
    </row>
    <row r="254" spans="2:9" x14ac:dyDescent="0.3">
      <c r="B254" s="12" t="str">
        <f ca="1">IFERROR(__xludf.DUMMYFUNCTION("""COMPUTED_VALUE"""),"круг")</f>
        <v>круг</v>
      </c>
      <c r="C254" s="7" t="str">
        <f ca="1">IFERROR(__xludf.DUMMYFUNCTION("""COMPUTED_VALUE"""),"07х16н4Б-Ш")</f>
        <v>07х16н4Б-Ш</v>
      </c>
      <c r="D254" s="13">
        <f ca="1">IFERROR(__xludf.DUMMYFUNCTION("""COMPUTED_VALUE"""),240)</f>
        <v>240</v>
      </c>
      <c r="E254" s="13"/>
      <c r="F254" s="14" t="str">
        <f ca="1">IFERROR(__xludf.DUMMYFUNCTION("""COMPUTED_VALUE"""),"ГОСТ 5632/25054,  УЗК,обточ, ков")</f>
        <v>ГОСТ 5632/25054,  УЗК,обточ, ков</v>
      </c>
      <c r="G254" s="15">
        <f ca="1">IFERROR(__xludf.DUMMYFUNCTION("""COMPUTED_VALUE"""),1.68)</f>
        <v>1.68</v>
      </c>
      <c r="H254" s="15"/>
      <c r="I254" s="16">
        <f ca="1">IFERROR(__xludf.DUMMYFUNCTION("""COMPUTED_VALUE"""),1200000)</f>
        <v>1200000</v>
      </c>
    </row>
    <row r="255" spans="2:9" x14ac:dyDescent="0.3">
      <c r="B255" s="12" t="str">
        <f ca="1">IFERROR(__xludf.DUMMYFUNCTION("""COMPUTED_VALUE"""),"круг")</f>
        <v>круг</v>
      </c>
      <c r="C255" s="7" t="str">
        <f ca="1">IFERROR(__xludf.DUMMYFUNCTION("""COMPUTED_VALUE"""),"07х16н4Б-Ш")</f>
        <v>07х16н4Б-Ш</v>
      </c>
      <c r="D255" s="13">
        <f ca="1">IFERROR(__xludf.DUMMYFUNCTION("""COMPUTED_VALUE"""),250)</f>
        <v>250</v>
      </c>
      <c r="E255" s="13"/>
      <c r="F255" s="14" t="str">
        <f ca="1">IFERROR(__xludf.DUMMYFUNCTION("""COMPUTED_VALUE"""),"ГОСТ 5632/25054,  УЗК,обточ, ков")</f>
        <v>ГОСТ 5632/25054,  УЗК,обточ, ков</v>
      </c>
      <c r="G255" s="15">
        <f ca="1">IFERROR(__xludf.DUMMYFUNCTION("""COMPUTED_VALUE"""),1.675)</f>
        <v>1.675</v>
      </c>
      <c r="H255" s="15"/>
      <c r="I255" s="16">
        <f ca="1">IFERROR(__xludf.DUMMYFUNCTION("""COMPUTED_VALUE"""),1200000)</f>
        <v>1200000</v>
      </c>
    </row>
    <row r="256" spans="2:9" x14ac:dyDescent="0.3">
      <c r="B256" s="12" t="str">
        <f ca="1">IFERROR(__xludf.DUMMYFUNCTION("""COMPUTED_VALUE"""),"круг")</f>
        <v>круг</v>
      </c>
      <c r="C256" s="7" t="str">
        <f ca="1">IFERROR(__xludf.DUMMYFUNCTION("""COMPUTED_VALUE"""),"07х16н4Б-Ш")</f>
        <v>07х16н4Б-Ш</v>
      </c>
      <c r="D256" s="13">
        <f ca="1">IFERROR(__xludf.DUMMYFUNCTION("""COMPUTED_VALUE"""),250)</f>
        <v>250</v>
      </c>
      <c r="E256" s="13"/>
      <c r="F256" s="14" t="str">
        <f ca="1">IFERROR(__xludf.DUMMYFUNCTION("""COMPUTED_VALUE"""),"ГОСТ 5632/25054,  УЗК,обточ, ков")</f>
        <v>ГОСТ 5632/25054,  УЗК,обточ, ков</v>
      </c>
      <c r="G256" s="15">
        <f ca="1">IFERROR(__xludf.DUMMYFUNCTION("""COMPUTED_VALUE"""),1.705)</f>
        <v>1.7050000000000001</v>
      </c>
      <c r="H256" s="15"/>
      <c r="I256" s="16">
        <f ca="1">IFERROR(__xludf.DUMMYFUNCTION("""COMPUTED_VALUE"""),1200000)</f>
        <v>1200000</v>
      </c>
    </row>
    <row r="257" spans="2:9" x14ac:dyDescent="0.3">
      <c r="B257" s="12" t="str">
        <f ca="1">IFERROR(__xludf.DUMMYFUNCTION("""COMPUTED_VALUE"""),"круг")</f>
        <v>круг</v>
      </c>
      <c r="C257" s="7" t="str">
        <f ca="1">IFERROR(__xludf.DUMMYFUNCTION("""COMPUTED_VALUE"""),"07х16н4Б")</f>
        <v>07х16н4Б</v>
      </c>
      <c r="D257" s="13">
        <f ca="1">IFERROR(__xludf.DUMMYFUNCTION("""COMPUTED_VALUE"""),250)</f>
        <v>250</v>
      </c>
      <c r="E257" s="13"/>
      <c r="F257" s="14" t="str">
        <f ca="1">IFERROR(__xludf.DUMMYFUNCTION("""COMPUTED_VALUE"""),"ГОСТ 5632/25054,  УЗК,обточ, ков с протоколом")</f>
        <v>ГОСТ 5632/25054,  УЗК,обточ, ков с протоколом</v>
      </c>
      <c r="G257" s="15">
        <f ca="1">IFERROR(__xludf.DUMMYFUNCTION("""COMPUTED_VALUE"""),0.229)</f>
        <v>0.22900000000000001</v>
      </c>
      <c r="H257" s="15"/>
      <c r="I257" s="16">
        <f ca="1">IFERROR(__xludf.DUMMYFUNCTION("""COMPUTED_VALUE"""),1150000)</f>
        <v>1150000</v>
      </c>
    </row>
    <row r="258" spans="2:9" x14ac:dyDescent="0.3">
      <c r="B258" s="12" t="str">
        <f ca="1">IFERROR(__xludf.DUMMYFUNCTION("""COMPUTED_VALUE"""),"круг")</f>
        <v>круг</v>
      </c>
      <c r="C258" s="7" t="str">
        <f ca="1">IFERROR(__xludf.DUMMYFUNCTION("""COMPUTED_VALUE"""),"07х16н4Б-Ш")</f>
        <v>07х16н4Б-Ш</v>
      </c>
      <c r="D258" s="13">
        <f ca="1">IFERROR(__xludf.DUMMYFUNCTION("""COMPUTED_VALUE"""),270)</f>
        <v>270</v>
      </c>
      <c r="E258" s="13"/>
      <c r="F258" s="14" t="str">
        <f ca="1">IFERROR(__xludf.DUMMYFUNCTION("""COMPUTED_VALUE"""),"ГОСТ 5632/25054,  УЗК,обточ, ков")</f>
        <v>ГОСТ 5632/25054,  УЗК,обточ, ков</v>
      </c>
      <c r="G258" s="15">
        <f ca="1">IFERROR(__xludf.DUMMYFUNCTION("""COMPUTED_VALUE"""),1.515)</f>
        <v>1.5149999999999999</v>
      </c>
      <c r="H258" s="15"/>
      <c r="I258" s="16">
        <f ca="1">IFERROR(__xludf.DUMMYFUNCTION("""COMPUTED_VALUE"""),1200000)</f>
        <v>1200000</v>
      </c>
    </row>
    <row r="259" spans="2:9" x14ac:dyDescent="0.3">
      <c r="B259" s="12" t="str">
        <f ca="1">IFERROR(__xludf.DUMMYFUNCTION("""COMPUTED_VALUE"""),"круг")</f>
        <v>круг</v>
      </c>
      <c r="C259" s="7" t="str">
        <f ca="1">IFERROR(__xludf.DUMMYFUNCTION("""COMPUTED_VALUE"""),"07х16н4Б")</f>
        <v>07х16н4Б</v>
      </c>
      <c r="D259" s="13">
        <f ca="1">IFERROR(__xludf.DUMMYFUNCTION("""COMPUTED_VALUE"""),270)</f>
        <v>270</v>
      </c>
      <c r="E259" s="13"/>
      <c r="F259" s="14" t="str">
        <f ca="1">IFERROR(__xludf.DUMMYFUNCTION("""COMPUTED_VALUE"""),"ГОСТ 5632/25054,  УЗК,обточ, ков с протоколом")</f>
        <v>ГОСТ 5632/25054,  УЗК,обточ, ков с протоколом</v>
      </c>
      <c r="G259" s="15">
        <f ca="1">IFERROR(__xludf.DUMMYFUNCTION("""COMPUTED_VALUE"""),0.0489999999999999)</f>
        <v>4.8999999999999898E-2</v>
      </c>
      <c r="H259" s="15"/>
      <c r="I259" s="16">
        <f ca="1">IFERROR(__xludf.DUMMYFUNCTION("""COMPUTED_VALUE"""),1150000)</f>
        <v>1150000</v>
      </c>
    </row>
    <row r="260" spans="2:9" x14ac:dyDescent="0.3">
      <c r="B260" s="12" t="str">
        <f ca="1">IFERROR(__xludf.DUMMYFUNCTION("""COMPUTED_VALUE"""),"круг")</f>
        <v>круг</v>
      </c>
      <c r="C260" s="7" t="str">
        <f ca="1">IFERROR(__xludf.DUMMYFUNCTION("""COMPUTED_VALUE"""),"07х16н4Б-Ш")</f>
        <v>07х16н4Б-Ш</v>
      </c>
      <c r="D260" s="13">
        <f ca="1">IFERROR(__xludf.DUMMYFUNCTION("""COMPUTED_VALUE"""),280)</f>
        <v>280</v>
      </c>
      <c r="E260" s="13"/>
      <c r="F260" s="14" t="str">
        <f ca="1">IFERROR(__xludf.DUMMYFUNCTION("""COMPUTED_VALUE"""),"ГОСТ 5632/25054,  УЗК,обточ, ков")</f>
        <v>ГОСТ 5632/25054,  УЗК,обточ, ков</v>
      </c>
      <c r="G260" s="15">
        <f ca="1">IFERROR(__xludf.DUMMYFUNCTION("""COMPUTED_VALUE"""),0.526)</f>
        <v>0.52600000000000002</v>
      </c>
      <c r="H260" s="15"/>
      <c r="I260" s="16">
        <f ca="1">IFERROR(__xludf.DUMMYFUNCTION("""COMPUTED_VALUE"""),1200000)</f>
        <v>1200000</v>
      </c>
    </row>
    <row r="261" spans="2:9" x14ac:dyDescent="0.3">
      <c r="B261" s="12" t="str">
        <f ca="1">IFERROR(__xludf.DUMMYFUNCTION("""COMPUTED_VALUE"""),"круг")</f>
        <v>круг</v>
      </c>
      <c r="C261" s="7" t="str">
        <f ca="1">IFERROR(__xludf.DUMMYFUNCTION("""COMPUTED_VALUE"""),"07х16н4Б-Ш")</f>
        <v>07х16н4Б-Ш</v>
      </c>
      <c r="D261" s="13">
        <f ca="1">IFERROR(__xludf.DUMMYFUNCTION("""COMPUTED_VALUE"""),280)</f>
        <v>280</v>
      </c>
      <c r="E261" s="13"/>
      <c r="F261" s="14" t="str">
        <f ca="1">IFERROR(__xludf.DUMMYFUNCTION("""COMPUTED_VALUE"""),"ГОСТ 5632/25054,  УЗК,обточ, ков")</f>
        <v>ГОСТ 5632/25054,  УЗК,обточ, ков</v>
      </c>
      <c r="G261" s="15">
        <f ca="1">IFERROR(__xludf.DUMMYFUNCTION("""COMPUTED_VALUE"""),1.77)</f>
        <v>1.77</v>
      </c>
      <c r="H261" s="15"/>
      <c r="I261" s="16">
        <f ca="1">IFERROR(__xludf.DUMMYFUNCTION("""COMPUTED_VALUE"""),1200000)</f>
        <v>1200000</v>
      </c>
    </row>
    <row r="262" spans="2:9" x14ac:dyDescent="0.3">
      <c r="B262" s="12" t="str">
        <f ca="1">IFERROR(__xludf.DUMMYFUNCTION("""COMPUTED_VALUE"""),"круг")</f>
        <v>круг</v>
      </c>
      <c r="C262" s="7" t="str">
        <f ca="1">IFERROR(__xludf.DUMMYFUNCTION("""COMPUTED_VALUE"""),"07х16н4Б")</f>
        <v>07х16н4Б</v>
      </c>
      <c r="D262" s="13">
        <f ca="1">IFERROR(__xludf.DUMMYFUNCTION("""COMPUTED_VALUE"""),300)</f>
        <v>300</v>
      </c>
      <c r="E262" s="13"/>
      <c r="F262" s="14" t="str">
        <f ca="1">IFERROR(__xludf.DUMMYFUNCTION("""COMPUTED_VALUE"""),"ГОСТ 5632/25054,  УЗК,обточ, ков")</f>
        <v>ГОСТ 5632/25054,  УЗК,обточ, ков</v>
      </c>
      <c r="G262" s="15">
        <f ca="1">IFERROR(__xludf.DUMMYFUNCTION("""COMPUTED_VALUE"""),0.129999999999999)</f>
        <v>0.12999999999999901</v>
      </c>
      <c r="H262" s="15"/>
      <c r="I262" s="16">
        <f ca="1">IFERROR(__xludf.DUMMYFUNCTION("""COMPUTED_VALUE"""),1150000)</f>
        <v>1150000</v>
      </c>
    </row>
    <row r="263" spans="2:9" x14ac:dyDescent="0.3">
      <c r="B263" s="12" t="str">
        <f ca="1">IFERROR(__xludf.DUMMYFUNCTION("""COMPUTED_VALUE"""),"круг")</f>
        <v>круг</v>
      </c>
      <c r="C263" s="7" t="str">
        <f ca="1">IFERROR(__xludf.DUMMYFUNCTION("""COMPUTED_VALUE"""),"07х16н4Б")</f>
        <v>07х16н4Б</v>
      </c>
      <c r="D263" s="13">
        <f ca="1">IFERROR(__xludf.DUMMYFUNCTION("""COMPUTED_VALUE"""),320)</f>
        <v>320</v>
      </c>
      <c r="E263" s="13"/>
      <c r="F263" s="14" t="str">
        <f ca="1">IFERROR(__xludf.DUMMYFUNCTION("""COMPUTED_VALUE"""),"ту 14-1-3573-83, УЗК,обточ, ков")</f>
        <v>ту 14-1-3573-83, УЗК,обточ, ков</v>
      </c>
      <c r="G263" s="15">
        <f ca="1">IFERROR(__xludf.DUMMYFUNCTION("""COMPUTED_VALUE"""),0.0859999999999998)</f>
        <v>8.5999999999999799E-2</v>
      </c>
      <c r="H263" s="15"/>
      <c r="I263" s="16">
        <f ca="1">IFERROR(__xludf.DUMMYFUNCTION("""COMPUTED_VALUE"""),1150000)</f>
        <v>1150000</v>
      </c>
    </row>
    <row r="264" spans="2:9" x14ac:dyDescent="0.3">
      <c r="B264" s="12" t="str">
        <f ca="1">IFERROR(__xludf.DUMMYFUNCTION("""COMPUTED_VALUE"""),"круг")</f>
        <v>круг</v>
      </c>
      <c r="C264" s="7" t="str">
        <f ca="1">IFERROR(__xludf.DUMMYFUNCTION("""COMPUTED_VALUE"""),"07х16н4Б")</f>
        <v>07х16н4Б</v>
      </c>
      <c r="D264" s="13">
        <f ca="1">IFERROR(__xludf.DUMMYFUNCTION("""COMPUTED_VALUE"""),350)</f>
        <v>350</v>
      </c>
      <c r="E264" s="13"/>
      <c r="F264" s="14" t="str">
        <f ca="1">IFERROR(__xludf.DUMMYFUNCTION("""COMPUTED_VALUE"""),"ГОСТ 5632/25054,  УЗК,обточ, ков с протоколом")</f>
        <v>ГОСТ 5632/25054,  УЗК,обточ, ков с протоколом</v>
      </c>
      <c r="G264" s="15">
        <f ca="1">IFERROR(__xludf.DUMMYFUNCTION("""COMPUTED_VALUE"""),1.70199999999999)</f>
        <v>1.70199999999999</v>
      </c>
      <c r="H264" s="15"/>
      <c r="I264" s="16">
        <f ca="1">IFERROR(__xludf.DUMMYFUNCTION("""COMPUTED_VALUE"""),1150000)</f>
        <v>1150000</v>
      </c>
    </row>
    <row r="265" spans="2:9" x14ac:dyDescent="0.3">
      <c r="B265" s="12" t="str">
        <f ca="1">IFERROR(__xludf.DUMMYFUNCTION("""COMPUTED_VALUE"""),"круг")</f>
        <v>круг</v>
      </c>
      <c r="C265" s="7" t="str">
        <f ca="1">IFERROR(__xludf.DUMMYFUNCTION("""COMPUTED_VALUE"""),"07х16н4Б")</f>
        <v>07х16н4Б</v>
      </c>
      <c r="D265" s="13">
        <f ca="1">IFERROR(__xludf.DUMMYFUNCTION("""COMPUTED_VALUE"""),360)</f>
        <v>360</v>
      </c>
      <c r="E265" s="13"/>
      <c r="F265" s="14" t="str">
        <f ca="1">IFERROR(__xludf.DUMMYFUNCTION("""COMPUTED_VALUE"""),"ГОСТ 5632/25054,  УЗК,обточ, ков")</f>
        <v>ГОСТ 5632/25054,  УЗК,обточ, ков</v>
      </c>
      <c r="G265" s="15">
        <f ca="1">IFERROR(__xludf.DUMMYFUNCTION("""COMPUTED_VALUE"""),1.564)</f>
        <v>1.5640000000000001</v>
      </c>
      <c r="H265" s="15"/>
      <c r="I265" s="16">
        <f ca="1">IFERROR(__xludf.DUMMYFUNCTION("""COMPUTED_VALUE"""),1025000)</f>
        <v>1025000</v>
      </c>
    </row>
    <row r="266" spans="2:9" x14ac:dyDescent="0.3">
      <c r="B266" s="12" t="str">
        <f ca="1">IFERROR(__xludf.DUMMYFUNCTION("""COMPUTED_VALUE"""),"круг")</f>
        <v>круг</v>
      </c>
      <c r="C266" s="7" t="str">
        <f ca="1">IFERROR(__xludf.DUMMYFUNCTION("""COMPUTED_VALUE"""),"07х16н4Б")</f>
        <v>07х16н4Б</v>
      </c>
      <c r="D266" s="13">
        <f ca="1">IFERROR(__xludf.DUMMYFUNCTION("""COMPUTED_VALUE"""),370)</f>
        <v>370</v>
      </c>
      <c r="E266" s="13"/>
      <c r="F266" s="14" t="str">
        <f ca="1">IFERROR(__xludf.DUMMYFUNCTION("""COMPUTED_VALUE"""),"ГОСТ 5632/25054,  УЗК,обточ, ков")</f>
        <v>ГОСТ 5632/25054,  УЗК,обточ, ков</v>
      </c>
      <c r="G266" s="15">
        <f ca="1">IFERROR(__xludf.DUMMYFUNCTION("""COMPUTED_VALUE"""),5.275)</f>
        <v>5.2750000000000004</v>
      </c>
      <c r="H266" s="15"/>
      <c r="I266" s="16">
        <f ca="1">IFERROR(__xludf.DUMMYFUNCTION("""COMPUTED_VALUE"""),1025000)</f>
        <v>1025000</v>
      </c>
    </row>
    <row r="267" spans="2:9" x14ac:dyDescent="0.3">
      <c r="B267" s="12" t="str">
        <f ca="1">IFERROR(__xludf.DUMMYFUNCTION("""COMPUTED_VALUE"""),"круг")</f>
        <v>круг</v>
      </c>
      <c r="C267" s="7" t="str">
        <f ca="1">IFERROR(__xludf.DUMMYFUNCTION("""COMPUTED_VALUE"""),"07х16н4Б")</f>
        <v>07х16н4Б</v>
      </c>
      <c r="D267" s="13">
        <f ca="1">IFERROR(__xludf.DUMMYFUNCTION("""COMPUTED_VALUE"""),380)</f>
        <v>380</v>
      </c>
      <c r="E267" s="13"/>
      <c r="F267" s="14" t="str">
        <f ca="1">IFERROR(__xludf.DUMMYFUNCTION("""COMPUTED_VALUE"""),"ГОСТ 5632/25054,  УЗК,обточ, ков")</f>
        <v>ГОСТ 5632/25054,  УЗК,обточ, ков</v>
      </c>
      <c r="G267" s="15">
        <f ca="1">IFERROR(__xludf.DUMMYFUNCTION("""COMPUTED_VALUE"""),3.029)</f>
        <v>3.0289999999999999</v>
      </c>
      <c r="H267" s="15"/>
      <c r="I267" s="16">
        <f ca="1">IFERROR(__xludf.DUMMYFUNCTION("""COMPUTED_VALUE"""),1100000)</f>
        <v>1100000</v>
      </c>
    </row>
    <row r="268" spans="2:9" x14ac:dyDescent="0.3">
      <c r="B268" s="12" t="str">
        <f ca="1">IFERROR(__xludf.DUMMYFUNCTION("""COMPUTED_VALUE"""),"круг")</f>
        <v>круг</v>
      </c>
      <c r="C268" s="7" t="str">
        <f ca="1">IFERROR(__xludf.DUMMYFUNCTION("""COMPUTED_VALUE"""),"07х16н4Б")</f>
        <v>07х16н4Б</v>
      </c>
      <c r="D268" s="13">
        <f ca="1">IFERROR(__xludf.DUMMYFUNCTION("""COMPUTED_VALUE"""),380)</f>
        <v>380</v>
      </c>
      <c r="E268" s="13"/>
      <c r="F268" s="14" t="str">
        <f ca="1">IFERROR(__xludf.DUMMYFUNCTION("""COMPUTED_VALUE"""),"ГОСТ 5632/25054,  УЗК,обточ, ков")</f>
        <v>ГОСТ 5632/25054,  УЗК,обточ, ков</v>
      </c>
      <c r="G268" s="15">
        <f ca="1">IFERROR(__xludf.DUMMYFUNCTION("""COMPUTED_VALUE"""),2.975)</f>
        <v>2.9750000000000001</v>
      </c>
      <c r="H268" s="15"/>
      <c r="I268" s="16">
        <f ca="1">IFERROR(__xludf.DUMMYFUNCTION("""COMPUTED_VALUE"""),1100000)</f>
        <v>1100000</v>
      </c>
    </row>
    <row r="269" spans="2:9" x14ac:dyDescent="0.3">
      <c r="B269" s="12" t="str">
        <f ca="1">IFERROR(__xludf.DUMMYFUNCTION("""COMPUTED_VALUE"""),"круг")</f>
        <v>круг</v>
      </c>
      <c r="C269" s="7" t="str">
        <f ca="1">IFERROR(__xludf.DUMMYFUNCTION("""COMPUTED_VALUE"""),"07х16н4Б")</f>
        <v>07х16н4Б</v>
      </c>
      <c r="D269" s="13">
        <f ca="1">IFERROR(__xludf.DUMMYFUNCTION("""COMPUTED_VALUE"""),400)</f>
        <v>400</v>
      </c>
      <c r="E269" s="13"/>
      <c r="F269" s="14" t="str">
        <f ca="1">IFERROR(__xludf.DUMMYFUNCTION("""COMPUTED_VALUE"""),"ГОСТ 5632/25054,  УЗК,обточ, ков")</f>
        <v>ГОСТ 5632/25054,  УЗК,обточ, ков</v>
      </c>
      <c r="G269" s="15">
        <f ca="1">IFERROR(__xludf.DUMMYFUNCTION("""COMPUTED_VALUE"""),3.336)</f>
        <v>3.3359999999999999</v>
      </c>
      <c r="H269" s="15"/>
      <c r="I269" s="16">
        <f ca="1">IFERROR(__xludf.DUMMYFUNCTION("""COMPUTED_VALUE"""),1150000)</f>
        <v>1150000</v>
      </c>
    </row>
    <row r="270" spans="2:9" x14ac:dyDescent="0.3">
      <c r="B270" s="12" t="str">
        <f ca="1">IFERROR(__xludf.DUMMYFUNCTION("""COMPUTED_VALUE"""),"круг")</f>
        <v>круг</v>
      </c>
      <c r="C270" s="7" t="str">
        <f ca="1">IFERROR(__xludf.DUMMYFUNCTION("""COMPUTED_VALUE"""),"07х16н4Б")</f>
        <v>07х16н4Б</v>
      </c>
      <c r="D270" s="13">
        <f ca="1">IFERROR(__xludf.DUMMYFUNCTION("""COMPUTED_VALUE"""),400)</f>
        <v>400</v>
      </c>
      <c r="E270" s="13"/>
      <c r="F270" s="14" t="str">
        <f ca="1">IFERROR(__xludf.DUMMYFUNCTION("""COMPUTED_VALUE"""),"ГОСТ 5632/25054, УЗК,обточ, ков")</f>
        <v>ГОСТ 5632/25054, УЗК,обточ, ков</v>
      </c>
      <c r="G270" s="15">
        <f ca="1">IFERROR(__xludf.DUMMYFUNCTION("""COMPUTED_VALUE"""),4.545)</f>
        <v>4.5449999999999999</v>
      </c>
      <c r="H270" s="15"/>
      <c r="I270" s="16">
        <f ca="1">IFERROR(__xludf.DUMMYFUNCTION("""COMPUTED_VALUE"""),1150000)</f>
        <v>1150000</v>
      </c>
    </row>
    <row r="271" spans="2:9" x14ac:dyDescent="0.3">
      <c r="B271" s="12" t="str">
        <f ca="1">IFERROR(__xludf.DUMMYFUNCTION("""COMPUTED_VALUE"""),"круг")</f>
        <v>круг</v>
      </c>
      <c r="C271" s="7" t="str">
        <f ca="1">IFERROR(__xludf.DUMMYFUNCTION("""COMPUTED_VALUE"""),"07х16н4Б")</f>
        <v>07х16н4Б</v>
      </c>
      <c r="D271" s="13">
        <f ca="1">IFERROR(__xludf.DUMMYFUNCTION("""COMPUTED_VALUE"""),430)</f>
        <v>430</v>
      </c>
      <c r="E271" s="13"/>
      <c r="F271" s="14" t="str">
        <f ca="1">IFERROR(__xludf.DUMMYFUNCTION("""COMPUTED_VALUE"""),"ГОСТ 5632/25054,  УЗК,обточ, ков")</f>
        <v>ГОСТ 5632/25054,  УЗК,обточ, ков</v>
      </c>
      <c r="G271" s="15">
        <f ca="1">IFERROR(__xludf.DUMMYFUNCTION("""COMPUTED_VALUE"""),2.221)</f>
        <v>2.2210000000000001</v>
      </c>
      <c r="H271" s="15"/>
      <c r="I271" s="16">
        <f ca="1">IFERROR(__xludf.DUMMYFUNCTION("""COMPUTED_VALUE"""),1100000)</f>
        <v>1100000</v>
      </c>
    </row>
    <row r="272" spans="2:9" x14ac:dyDescent="0.3">
      <c r="B272" s="12" t="str">
        <f ca="1">IFERROR(__xludf.DUMMYFUNCTION("""COMPUTED_VALUE"""),"круг")</f>
        <v>круг</v>
      </c>
      <c r="C272" s="7" t="str">
        <f ca="1">IFERROR(__xludf.DUMMYFUNCTION("""COMPUTED_VALUE"""),"07х16н4Б")</f>
        <v>07х16н4Б</v>
      </c>
      <c r="D272" s="13">
        <f ca="1">IFERROR(__xludf.DUMMYFUNCTION("""COMPUTED_VALUE"""),450)</f>
        <v>450</v>
      </c>
      <c r="E272" s="13"/>
      <c r="F272" s="14" t="str">
        <f ca="1">IFERROR(__xludf.DUMMYFUNCTION("""COMPUTED_VALUE"""),"ГОСТ 5632/25054, УЗК,обточ, ков")</f>
        <v>ГОСТ 5632/25054, УЗК,обточ, ков</v>
      </c>
      <c r="G272" s="15">
        <f ca="1">IFERROR(__xludf.DUMMYFUNCTION("""COMPUTED_VALUE"""),3.24)</f>
        <v>3.24</v>
      </c>
      <c r="H272" s="15"/>
      <c r="I272" s="16">
        <f ca="1">IFERROR(__xludf.DUMMYFUNCTION("""COMPUTED_VALUE"""),1150000)</f>
        <v>1150000</v>
      </c>
    </row>
    <row r="273" spans="2:9" x14ac:dyDescent="0.3">
      <c r="B273" s="12" t="str">
        <f ca="1">IFERROR(__xludf.DUMMYFUNCTION("""COMPUTED_VALUE"""),"круг")</f>
        <v>круг</v>
      </c>
      <c r="C273" s="7" t="str">
        <f ca="1">IFERROR(__xludf.DUMMYFUNCTION("""COMPUTED_VALUE"""),"07х16н4Б")</f>
        <v>07х16н4Б</v>
      </c>
      <c r="D273" s="13">
        <f ca="1">IFERROR(__xludf.DUMMYFUNCTION("""COMPUTED_VALUE"""),450)</f>
        <v>450</v>
      </c>
      <c r="E273" s="13"/>
      <c r="F273" s="14" t="str">
        <f ca="1">IFERROR(__xludf.DUMMYFUNCTION("""COMPUTED_VALUE"""),"ГОСТ 5632/25054, УЗК,обточ, ков")</f>
        <v>ГОСТ 5632/25054, УЗК,обточ, ков</v>
      </c>
      <c r="G273" s="15">
        <f ca="1">IFERROR(__xludf.DUMMYFUNCTION("""COMPUTED_VALUE"""),2.995)</f>
        <v>2.9950000000000001</v>
      </c>
      <c r="H273" s="15"/>
      <c r="I273" s="16">
        <f ca="1">IFERROR(__xludf.DUMMYFUNCTION("""COMPUTED_VALUE"""),1150000)</f>
        <v>1150000</v>
      </c>
    </row>
    <row r="274" spans="2:9" x14ac:dyDescent="0.3">
      <c r="B274" s="12" t="str">
        <f ca="1">IFERROR(__xludf.DUMMYFUNCTION("""COMPUTED_VALUE"""),"круг")</f>
        <v>круг</v>
      </c>
      <c r="C274" s="7" t="str">
        <f ca="1">IFERROR(__xludf.DUMMYFUNCTION("""COMPUTED_VALUE"""),"07х16н4Б")</f>
        <v>07х16н4Б</v>
      </c>
      <c r="D274" s="13">
        <f ca="1">IFERROR(__xludf.DUMMYFUNCTION("""COMPUTED_VALUE"""),450)</f>
        <v>450</v>
      </c>
      <c r="E274" s="13"/>
      <c r="F274" s="14" t="str">
        <f ca="1">IFERROR(__xludf.DUMMYFUNCTION("""COMPUTED_VALUE"""),"ГОСТ 5632/25054, УЗК,обточ, ков")</f>
        <v>ГОСТ 5632/25054, УЗК,обточ, ков</v>
      </c>
      <c r="G274" s="15">
        <f ca="1">IFERROR(__xludf.DUMMYFUNCTION("""COMPUTED_VALUE"""),3.9)</f>
        <v>3.9</v>
      </c>
      <c r="H274" s="15"/>
      <c r="I274" s="16">
        <f ca="1">IFERROR(__xludf.DUMMYFUNCTION("""COMPUTED_VALUE"""),1150000)</f>
        <v>1150000</v>
      </c>
    </row>
    <row r="275" spans="2:9" x14ac:dyDescent="0.3">
      <c r="B275" s="12" t="str">
        <f ca="1">IFERROR(__xludf.DUMMYFUNCTION("""COMPUTED_VALUE"""),"круг")</f>
        <v>круг</v>
      </c>
      <c r="C275" s="7" t="str">
        <f ca="1">IFERROR(__xludf.DUMMYFUNCTION("""COMPUTED_VALUE"""),"07х16н4Б")</f>
        <v>07х16н4Б</v>
      </c>
      <c r="D275" s="13">
        <f ca="1">IFERROR(__xludf.DUMMYFUNCTION("""COMPUTED_VALUE"""),480)</f>
        <v>480</v>
      </c>
      <c r="E275" s="13"/>
      <c r="F275" s="14" t="str">
        <f ca="1">IFERROR(__xludf.DUMMYFUNCTION("""COMPUTED_VALUE"""),"ГОСТ 5632/25054,  УЗК 4n,обточ, ков")</f>
        <v>ГОСТ 5632/25054,  УЗК 4n,обточ, ков</v>
      </c>
      <c r="G275" s="15">
        <f ca="1">IFERROR(__xludf.DUMMYFUNCTION("""COMPUTED_VALUE"""),1.791)</f>
        <v>1.7909999999999999</v>
      </c>
      <c r="H275" s="15"/>
      <c r="I275" s="16">
        <f ca="1">IFERROR(__xludf.DUMMYFUNCTION("""COMPUTED_VALUE"""),1100000)</f>
        <v>1100000</v>
      </c>
    </row>
    <row r="276" spans="2:9" x14ac:dyDescent="0.3">
      <c r="B276" s="12" t="str">
        <f ca="1">IFERROR(__xludf.DUMMYFUNCTION("""COMPUTED_VALUE"""),"круг")</f>
        <v>круг</v>
      </c>
      <c r="C276" s="7" t="str">
        <f ca="1">IFERROR(__xludf.DUMMYFUNCTION("""COMPUTED_VALUE"""),"07х16н4Б")</f>
        <v>07х16н4Б</v>
      </c>
      <c r="D276" s="13">
        <f ca="1">IFERROR(__xludf.DUMMYFUNCTION("""COMPUTED_VALUE"""),480)</f>
        <v>480</v>
      </c>
      <c r="E276" s="13"/>
      <c r="F276" s="14" t="str">
        <f ca="1">IFERROR(__xludf.DUMMYFUNCTION("""COMPUTED_VALUE"""),"ГОСТ 5632/25054,  УЗК 4n,обточ, ков")</f>
        <v>ГОСТ 5632/25054,  УЗК 4n,обточ, ков</v>
      </c>
      <c r="G276" s="15">
        <f ca="1">IFERROR(__xludf.DUMMYFUNCTION("""COMPUTED_VALUE"""),2.465)</f>
        <v>2.4649999999999999</v>
      </c>
      <c r="H276" s="15"/>
      <c r="I276" s="16">
        <f ca="1">IFERROR(__xludf.DUMMYFUNCTION("""COMPUTED_VALUE"""),1100000)</f>
        <v>1100000</v>
      </c>
    </row>
    <row r="277" spans="2:9" x14ac:dyDescent="0.3">
      <c r="B277" s="12" t="str">
        <f ca="1">IFERROR(__xludf.DUMMYFUNCTION("""COMPUTED_VALUE"""),"Круг")</f>
        <v>Круг</v>
      </c>
      <c r="C277" s="7" t="str">
        <f ca="1">IFERROR(__xludf.DUMMYFUNCTION("""COMPUTED_VALUE"""),"07Х21Г7АН5-Ш (ЭП222Ш)")</f>
        <v>07Х21Г7АН5-Ш (ЭП222Ш)</v>
      </c>
      <c r="D277" s="13">
        <f ca="1">IFERROR(__xludf.DUMMYFUNCTION("""COMPUTED_VALUE"""),15)</f>
        <v>15</v>
      </c>
      <c r="E277" s="13"/>
      <c r="F277" s="14" t="str">
        <f ca="1">IFERROR(__xludf.DUMMYFUNCTION("""COMPUTED_VALUE"""),"2590/14-1-952 , УЗК ,РТТ")</f>
        <v>2590/14-1-952 , УЗК ,РТТ</v>
      </c>
      <c r="G277" s="15">
        <f ca="1">IFERROR(__xludf.DUMMYFUNCTION("""COMPUTED_VALUE"""),0.178)</f>
        <v>0.17799999999999999</v>
      </c>
      <c r="H277" s="15"/>
      <c r="I277" s="16">
        <f ca="1">IFERROR(__xludf.DUMMYFUNCTION("""COMPUTED_VALUE"""),1800000)</f>
        <v>1800000</v>
      </c>
    </row>
    <row r="278" spans="2:9" x14ac:dyDescent="0.3">
      <c r="B278" s="12" t="str">
        <f ca="1">IFERROR(__xludf.DUMMYFUNCTION("""COMPUTED_VALUE"""),"Круг")</f>
        <v>Круг</v>
      </c>
      <c r="C278" s="7" t="str">
        <f ca="1">IFERROR(__xludf.DUMMYFUNCTION("""COMPUTED_VALUE"""),"07Х21Г7АН5-Ш (ЭП222Ш)")</f>
        <v>07Х21Г7АН5-Ш (ЭП222Ш)</v>
      </c>
      <c r="D278" s="13">
        <f ca="1">IFERROR(__xludf.DUMMYFUNCTION("""COMPUTED_VALUE"""),28)</f>
        <v>28</v>
      </c>
      <c r="E278" s="13"/>
      <c r="F278" s="14" t="str">
        <f ca="1">IFERROR(__xludf.DUMMYFUNCTION("""COMPUTED_VALUE"""),"2590/14-1-952 , УЗК ,РТТ")</f>
        <v>2590/14-1-952 , УЗК ,РТТ</v>
      </c>
      <c r="G278" s="15">
        <f ca="1">IFERROR(__xludf.DUMMYFUNCTION("""COMPUTED_VALUE"""),0.426)</f>
        <v>0.42599999999999999</v>
      </c>
      <c r="H278" s="15"/>
      <c r="I278" s="16">
        <f ca="1">IFERROR(__xludf.DUMMYFUNCTION("""COMPUTED_VALUE"""),1600000)</f>
        <v>1600000</v>
      </c>
    </row>
    <row r="279" spans="2:9" x14ac:dyDescent="0.3">
      <c r="B279" s="12" t="str">
        <f ca="1">IFERROR(__xludf.DUMMYFUNCTION("""COMPUTED_VALUE"""),"Круг")</f>
        <v>Круг</v>
      </c>
      <c r="C279" s="7" t="str">
        <f ca="1">IFERROR(__xludf.DUMMYFUNCTION("""COMPUTED_VALUE"""),"07Х21Г7АН5-Ш (ЭП222Ш)")</f>
        <v>07Х21Г7АН5-Ш (ЭП222Ш)</v>
      </c>
      <c r="D279" s="13">
        <f ca="1">IFERROR(__xludf.DUMMYFUNCTION("""COMPUTED_VALUE"""),28)</f>
        <v>28</v>
      </c>
      <c r="E279" s="13"/>
      <c r="F279" s="14" t="str">
        <f ca="1">IFERROR(__xludf.DUMMYFUNCTION("""COMPUTED_VALUE"""),"2590/14-1-952 , УЗК ,РТТ")</f>
        <v>2590/14-1-952 , УЗК ,РТТ</v>
      </c>
      <c r="G279" s="15">
        <f ca="1">IFERROR(__xludf.DUMMYFUNCTION("""COMPUTED_VALUE"""),0.052)</f>
        <v>5.1999999999999998E-2</v>
      </c>
      <c r="H279" s="15"/>
      <c r="I279" s="16">
        <f ca="1">IFERROR(__xludf.DUMMYFUNCTION("""COMPUTED_VALUE"""),1600000)</f>
        <v>1600000</v>
      </c>
    </row>
    <row r="280" spans="2:9" x14ac:dyDescent="0.3">
      <c r="B280" s="12" t="str">
        <f ca="1">IFERROR(__xludf.DUMMYFUNCTION("""COMPUTED_VALUE"""),"Круг")</f>
        <v>Круг</v>
      </c>
      <c r="C280" s="7" t="str">
        <f ca="1">IFERROR(__xludf.DUMMYFUNCTION("""COMPUTED_VALUE"""),"07Х21Г7АН5-Ш (ЭП222Ш)")</f>
        <v>07Х21Г7АН5-Ш (ЭП222Ш)</v>
      </c>
      <c r="D280" s="13">
        <f ca="1">IFERROR(__xludf.DUMMYFUNCTION("""COMPUTED_VALUE"""),30)</f>
        <v>30</v>
      </c>
      <c r="E280" s="13"/>
      <c r="F280" s="14" t="str">
        <f ca="1">IFERROR(__xludf.DUMMYFUNCTION("""COMPUTED_VALUE"""),"2590/14-1-952 , УЗК ,РТТ")</f>
        <v>2590/14-1-952 , УЗК ,РТТ</v>
      </c>
      <c r="G280" s="15">
        <f ca="1">IFERROR(__xludf.DUMMYFUNCTION("""COMPUTED_VALUE"""),0.54)</f>
        <v>0.54</v>
      </c>
      <c r="H280" s="15"/>
      <c r="I280" s="16">
        <f ca="1">IFERROR(__xludf.DUMMYFUNCTION("""COMPUTED_VALUE"""),1600000)</f>
        <v>1600000</v>
      </c>
    </row>
    <row r="281" spans="2:9" x14ac:dyDescent="0.3">
      <c r="B281" s="12" t="str">
        <f ca="1">IFERROR(__xludf.DUMMYFUNCTION("""COMPUTED_VALUE"""),"Круг")</f>
        <v>Круг</v>
      </c>
      <c r="C281" s="7" t="str">
        <f ca="1">IFERROR(__xludf.DUMMYFUNCTION("""COMPUTED_VALUE"""),"07Х21Г7АН5-Ш (ЭП222Ш)")</f>
        <v>07Х21Г7АН5-Ш (ЭП222Ш)</v>
      </c>
      <c r="D281" s="13">
        <f ca="1">IFERROR(__xludf.DUMMYFUNCTION("""COMPUTED_VALUE"""),30)</f>
        <v>30</v>
      </c>
      <c r="E281" s="13"/>
      <c r="F281" s="14" t="str">
        <f ca="1">IFERROR(__xludf.DUMMYFUNCTION("""COMPUTED_VALUE"""),"1133/14-1-952 , УЗК ,РТТ")</f>
        <v>1133/14-1-952 , УЗК ,РТТ</v>
      </c>
      <c r="G281" s="15">
        <f ca="1">IFERROR(__xludf.DUMMYFUNCTION("""COMPUTED_VALUE"""),0.425)</f>
        <v>0.42499999999999999</v>
      </c>
      <c r="H281" s="15"/>
      <c r="I281" s="16">
        <f ca="1">IFERROR(__xludf.DUMMYFUNCTION("""COMPUTED_VALUE"""),1600000)</f>
        <v>1600000</v>
      </c>
    </row>
    <row r="282" spans="2:9" x14ac:dyDescent="0.3">
      <c r="B282" s="12" t="str">
        <f ca="1">IFERROR(__xludf.DUMMYFUNCTION("""COMPUTED_VALUE"""),"Круг")</f>
        <v>Круг</v>
      </c>
      <c r="C282" s="7" t="str">
        <f ca="1">IFERROR(__xludf.DUMMYFUNCTION("""COMPUTED_VALUE"""),"07Х21Г7АН5-Ш (ЭП222Ш)")</f>
        <v>07Х21Г7АН5-Ш (ЭП222Ш)</v>
      </c>
      <c r="D282" s="13">
        <f ca="1">IFERROR(__xludf.DUMMYFUNCTION("""COMPUTED_VALUE"""),32)</f>
        <v>32</v>
      </c>
      <c r="E282" s="13"/>
      <c r="F282" s="14" t="str">
        <f ca="1">IFERROR(__xludf.DUMMYFUNCTION("""COMPUTED_VALUE"""),"2590/14-1-952 , УЗК ,РТТ")</f>
        <v>2590/14-1-952 , УЗК ,РТТ</v>
      </c>
      <c r="G282" s="15">
        <f ca="1">IFERROR(__xludf.DUMMYFUNCTION("""COMPUTED_VALUE"""),0.544)</f>
        <v>0.54400000000000004</v>
      </c>
      <c r="H282" s="15"/>
      <c r="I282" s="16">
        <f ca="1">IFERROR(__xludf.DUMMYFUNCTION("""COMPUTED_VALUE"""),1600000)</f>
        <v>1600000</v>
      </c>
    </row>
    <row r="283" spans="2:9" x14ac:dyDescent="0.3">
      <c r="B283" s="12" t="str">
        <f ca="1">IFERROR(__xludf.DUMMYFUNCTION("""COMPUTED_VALUE"""),"Круг")</f>
        <v>Круг</v>
      </c>
      <c r="C283" s="7" t="str">
        <f ca="1">IFERROR(__xludf.DUMMYFUNCTION("""COMPUTED_VALUE"""),"07Х21Г7АН5-Ш (ЭП222Ш)")</f>
        <v>07Х21Г7АН5-Ш (ЭП222Ш)</v>
      </c>
      <c r="D283" s="13">
        <f ca="1">IFERROR(__xludf.DUMMYFUNCTION("""COMPUTED_VALUE"""),32)</f>
        <v>32</v>
      </c>
      <c r="E283" s="13"/>
      <c r="F283" s="14" t="str">
        <f ca="1">IFERROR(__xludf.DUMMYFUNCTION("""COMPUTED_VALUE"""),"1133/14-1-952 , УЗК ,РТТ")</f>
        <v>1133/14-1-952 , УЗК ,РТТ</v>
      </c>
      <c r="G283" s="15">
        <f ca="1">IFERROR(__xludf.DUMMYFUNCTION("""COMPUTED_VALUE"""),0.336)</f>
        <v>0.33600000000000002</v>
      </c>
      <c r="H283" s="15"/>
      <c r="I283" s="16">
        <f ca="1">IFERROR(__xludf.DUMMYFUNCTION("""COMPUTED_VALUE"""),1600000)</f>
        <v>1600000</v>
      </c>
    </row>
    <row r="284" spans="2:9" x14ac:dyDescent="0.3">
      <c r="B284" s="12" t="str">
        <f ca="1">IFERROR(__xludf.DUMMYFUNCTION("""COMPUTED_VALUE"""),"Круг")</f>
        <v>Круг</v>
      </c>
      <c r="C284" s="7" t="str">
        <f ca="1">IFERROR(__xludf.DUMMYFUNCTION("""COMPUTED_VALUE"""),"07Х21Г7АН5-Ш (ЭП222Ш)")</f>
        <v>07Х21Г7АН5-Ш (ЭП222Ш)</v>
      </c>
      <c r="D284" s="13">
        <f ca="1">IFERROR(__xludf.DUMMYFUNCTION("""COMPUTED_VALUE"""),36)</f>
        <v>36</v>
      </c>
      <c r="E284" s="13"/>
      <c r="F284" s="14" t="str">
        <f ca="1">IFERROR(__xludf.DUMMYFUNCTION("""COMPUTED_VALUE"""),"2590/14-1-952 , УЗК ,РТТ")</f>
        <v>2590/14-1-952 , УЗК ,РТТ</v>
      </c>
      <c r="G284" s="15">
        <f ca="1">IFERROR(__xludf.DUMMYFUNCTION("""COMPUTED_VALUE"""),0.55)</f>
        <v>0.55000000000000004</v>
      </c>
      <c r="H284" s="15"/>
      <c r="I284" s="16">
        <f ca="1">IFERROR(__xludf.DUMMYFUNCTION("""COMPUTED_VALUE"""),1600000)</f>
        <v>1600000</v>
      </c>
    </row>
    <row r="285" spans="2:9" x14ac:dyDescent="0.3">
      <c r="B285" s="12" t="str">
        <f ca="1">IFERROR(__xludf.DUMMYFUNCTION("""COMPUTED_VALUE"""),"Круг")</f>
        <v>Круг</v>
      </c>
      <c r="C285" s="7" t="str">
        <f ca="1">IFERROR(__xludf.DUMMYFUNCTION("""COMPUTED_VALUE"""),"07Х21Г7АН5-Ш (ЭП222Ш)")</f>
        <v>07Х21Г7АН5-Ш (ЭП222Ш)</v>
      </c>
      <c r="D285" s="13">
        <f ca="1">IFERROR(__xludf.DUMMYFUNCTION("""COMPUTED_VALUE"""),36)</f>
        <v>36</v>
      </c>
      <c r="E285" s="13"/>
      <c r="F285" s="14" t="str">
        <f ca="1">IFERROR(__xludf.DUMMYFUNCTION("""COMPUTED_VALUE"""),"2590/14-1-952 , УЗК ,РТТ")</f>
        <v>2590/14-1-952 , УЗК ,РТТ</v>
      </c>
      <c r="G285" s="15">
        <f ca="1">IFERROR(__xludf.DUMMYFUNCTION("""COMPUTED_VALUE"""),0.5)</f>
        <v>0.5</v>
      </c>
      <c r="H285" s="15"/>
      <c r="I285" s="16">
        <f ca="1">IFERROR(__xludf.DUMMYFUNCTION("""COMPUTED_VALUE"""),1600000)</f>
        <v>1600000</v>
      </c>
    </row>
    <row r="286" spans="2:9" x14ac:dyDescent="0.3">
      <c r="B286" s="12" t="str">
        <f ca="1">IFERROR(__xludf.DUMMYFUNCTION("""COMPUTED_VALUE"""),"Круг")</f>
        <v>Круг</v>
      </c>
      <c r="C286" s="7" t="str">
        <f ca="1">IFERROR(__xludf.DUMMYFUNCTION("""COMPUTED_VALUE"""),"07Х21Г7АН5-Ш (ЭП222Ш)")</f>
        <v>07Х21Г7АН5-Ш (ЭП222Ш)</v>
      </c>
      <c r="D286" s="13">
        <f ca="1">IFERROR(__xludf.DUMMYFUNCTION("""COMPUTED_VALUE"""),36)</f>
        <v>36</v>
      </c>
      <c r="E286" s="13"/>
      <c r="F286" s="14" t="str">
        <f ca="1">IFERROR(__xludf.DUMMYFUNCTION("""COMPUTED_VALUE"""),"1133/14-1-952 , УЗК ,РТТ")</f>
        <v>1133/14-1-952 , УЗК ,РТТ</v>
      </c>
      <c r="G286" s="15">
        <f ca="1">IFERROR(__xludf.DUMMYFUNCTION("""COMPUTED_VALUE"""),0.383)</f>
        <v>0.38300000000000001</v>
      </c>
      <c r="H286" s="15"/>
      <c r="I286" s="16">
        <f ca="1">IFERROR(__xludf.DUMMYFUNCTION("""COMPUTED_VALUE"""),1600000)</f>
        <v>1600000</v>
      </c>
    </row>
    <row r="287" spans="2:9" x14ac:dyDescent="0.3">
      <c r="B287" s="12" t="str">
        <f ca="1">IFERROR(__xludf.DUMMYFUNCTION("""COMPUTED_VALUE"""),"Круг")</f>
        <v>Круг</v>
      </c>
      <c r="C287" s="7" t="str">
        <f ca="1">IFERROR(__xludf.DUMMYFUNCTION("""COMPUTED_VALUE"""),"07Х21Г7АН5-Ш (ЭП222Ш)")</f>
        <v>07Х21Г7АН5-Ш (ЭП222Ш)</v>
      </c>
      <c r="D287" s="13">
        <f ca="1">IFERROR(__xludf.DUMMYFUNCTION("""COMPUTED_VALUE"""),40)</f>
        <v>40</v>
      </c>
      <c r="E287" s="13"/>
      <c r="F287" s="14" t="str">
        <f ca="1">IFERROR(__xludf.DUMMYFUNCTION("""COMPUTED_VALUE"""),"2590/14-1-952 , УЗК ,РТТ")</f>
        <v>2590/14-1-952 , УЗК ,РТТ</v>
      </c>
      <c r="G287" s="15">
        <f ca="1">IFERROR(__xludf.DUMMYFUNCTION("""COMPUTED_VALUE"""),1.008)</f>
        <v>1.008</v>
      </c>
      <c r="H287" s="15"/>
      <c r="I287" s="16">
        <f ca="1">IFERROR(__xludf.DUMMYFUNCTION("""COMPUTED_VALUE"""),1600000)</f>
        <v>1600000</v>
      </c>
    </row>
    <row r="288" spans="2:9" x14ac:dyDescent="0.3">
      <c r="B288" s="12" t="str">
        <f ca="1">IFERROR(__xludf.DUMMYFUNCTION("""COMPUTED_VALUE"""),"Круг")</f>
        <v>Круг</v>
      </c>
      <c r="C288" s="7" t="str">
        <f ca="1">IFERROR(__xludf.DUMMYFUNCTION("""COMPUTED_VALUE"""),"07Х21Г7АН5-Ш (ЭП222Ш)")</f>
        <v>07Х21Г7АН5-Ш (ЭП222Ш)</v>
      </c>
      <c r="D288" s="13">
        <f ca="1">IFERROR(__xludf.DUMMYFUNCTION("""COMPUTED_VALUE"""),40)</f>
        <v>40</v>
      </c>
      <c r="E288" s="13"/>
      <c r="F288" s="14" t="str">
        <f ca="1">IFERROR(__xludf.DUMMYFUNCTION("""COMPUTED_VALUE"""),"1133/14-1-952 , УЗК ,РТТ")</f>
        <v>1133/14-1-952 , УЗК ,РТТ</v>
      </c>
      <c r="G288" s="15">
        <f ca="1">IFERROR(__xludf.DUMMYFUNCTION("""COMPUTED_VALUE"""),0.11)</f>
        <v>0.11</v>
      </c>
      <c r="H288" s="15"/>
      <c r="I288" s="16">
        <f ca="1">IFERROR(__xludf.DUMMYFUNCTION("""COMPUTED_VALUE"""),1600000)</f>
        <v>1600000</v>
      </c>
    </row>
    <row r="289" spans="2:9" x14ac:dyDescent="0.3">
      <c r="B289" s="12" t="str">
        <f ca="1">IFERROR(__xludf.DUMMYFUNCTION("""COMPUTED_VALUE"""),"Круг")</f>
        <v>Круг</v>
      </c>
      <c r="C289" s="7" t="str">
        <f ca="1">IFERROR(__xludf.DUMMYFUNCTION("""COMPUTED_VALUE"""),"07Х21Г7АН5-Ш (ЭП222Ш)")</f>
        <v>07Х21Г7АН5-Ш (ЭП222Ш)</v>
      </c>
      <c r="D289" s="13">
        <f ca="1">IFERROR(__xludf.DUMMYFUNCTION("""COMPUTED_VALUE"""),40)</f>
        <v>40</v>
      </c>
      <c r="E289" s="13"/>
      <c r="F289" s="14" t="str">
        <f ca="1">IFERROR(__xludf.DUMMYFUNCTION("""COMPUTED_VALUE"""),"1133/14-1-952 , УЗК ,РТТ")</f>
        <v>1133/14-1-952 , УЗК ,РТТ</v>
      </c>
      <c r="G289" s="15">
        <f ca="1">IFERROR(__xludf.DUMMYFUNCTION("""COMPUTED_VALUE"""),0.462)</f>
        <v>0.46200000000000002</v>
      </c>
      <c r="H289" s="15"/>
      <c r="I289" s="16">
        <f ca="1">IFERROR(__xludf.DUMMYFUNCTION("""COMPUTED_VALUE"""),1600000)</f>
        <v>1600000</v>
      </c>
    </row>
    <row r="290" spans="2:9" x14ac:dyDescent="0.3">
      <c r="B290" s="12" t="str">
        <f ca="1">IFERROR(__xludf.DUMMYFUNCTION("""COMPUTED_VALUE"""),"Круг")</f>
        <v>Круг</v>
      </c>
      <c r="C290" s="7" t="str">
        <f ca="1">IFERROR(__xludf.DUMMYFUNCTION("""COMPUTED_VALUE"""),"07Х21Г7АН5-Ш (ЭП222Ш)")</f>
        <v>07Х21Г7АН5-Ш (ЭП222Ш)</v>
      </c>
      <c r="D290" s="13">
        <f ca="1">IFERROR(__xludf.DUMMYFUNCTION("""COMPUTED_VALUE"""),40)</f>
        <v>40</v>
      </c>
      <c r="E290" s="13"/>
      <c r="F290" s="14" t="str">
        <f ca="1">IFERROR(__xludf.DUMMYFUNCTION("""COMPUTED_VALUE"""),"1133/14-1-952 , УЗК ,РТТ")</f>
        <v>1133/14-1-952 , УЗК ,РТТ</v>
      </c>
      <c r="G290" s="15">
        <f ca="1">IFERROR(__xludf.DUMMYFUNCTION("""COMPUTED_VALUE"""),0.459)</f>
        <v>0.45900000000000002</v>
      </c>
      <c r="H290" s="15"/>
      <c r="I290" s="16">
        <f ca="1">IFERROR(__xludf.DUMMYFUNCTION("""COMPUTED_VALUE"""),1600000)</f>
        <v>1600000</v>
      </c>
    </row>
    <row r="291" spans="2:9" x14ac:dyDescent="0.3">
      <c r="B291" s="12" t="str">
        <f ca="1">IFERROR(__xludf.DUMMYFUNCTION("""COMPUTED_VALUE"""),"Круг")</f>
        <v>Круг</v>
      </c>
      <c r="C291" s="7" t="str">
        <f ca="1">IFERROR(__xludf.DUMMYFUNCTION("""COMPUTED_VALUE"""),"07Х21Г7АН5-Ш (ЭП222Ш)")</f>
        <v>07Х21Г7АН5-Ш (ЭП222Ш)</v>
      </c>
      <c r="D291" s="13">
        <f ca="1">IFERROR(__xludf.DUMMYFUNCTION("""COMPUTED_VALUE"""),45)</f>
        <v>45</v>
      </c>
      <c r="E291" s="13"/>
      <c r="F291" s="14" t="str">
        <f ca="1">IFERROR(__xludf.DUMMYFUNCTION("""COMPUTED_VALUE"""),"2590/14-1-952 , УЗК ,РТТ")</f>
        <v>2590/14-1-952 , УЗК ,РТТ</v>
      </c>
      <c r="G291" s="15">
        <f ca="1">IFERROR(__xludf.DUMMYFUNCTION("""COMPUTED_VALUE"""),0.97)</f>
        <v>0.97</v>
      </c>
      <c r="H291" s="15"/>
      <c r="I291" s="16">
        <f ca="1">IFERROR(__xludf.DUMMYFUNCTION("""COMPUTED_VALUE"""),1600000)</f>
        <v>1600000</v>
      </c>
    </row>
    <row r="292" spans="2:9" x14ac:dyDescent="0.3">
      <c r="B292" s="12" t="str">
        <f ca="1">IFERROR(__xludf.DUMMYFUNCTION("""COMPUTED_VALUE"""),"Круг")</f>
        <v>Круг</v>
      </c>
      <c r="C292" s="7" t="str">
        <f ca="1">IFERROR(__xludf.DUMMYFUNCTION("""COMPUTED_VALUE"""),"07Х21Г7АН5-Ш (ЭП222Ш)")</f>
        <v>07Х21Г7АН5-Ш (ЭП222Ш)</v>
      </c>
      <c r="D292" s="13">
        <f ca="1">IFERROR(__xludf.DUMMYFUNCTION("""COMPUTED_VALUE"""),45)</f>
        <v>45</v>
      </c>
      <c r="E292" s="13"/>
      <c r="F292" s="14" t="str">
        <f ca="1">IFERROR(__xludf.DUMMYFUNCTION("""COMPUTED_VALUE"""),"1133/14-1-952 , УЗК ,РТТ")</f>
        <v>1133/14-1-952 , УЗК ,РТТ</v>
      </c>
      <c r="G292" s="15">
        <f ca="1">IFERROR(__xludf.DUMMYFUNCTION("""COMPUTED_VALUE"""),0.517)</f>
        <v>0.51700000000000002</v>
      </c>
      <c r="H292" s="15"/>
      <c r="I292" s="16">
        <f ca="1">IFERROR(__xludf.DUMMYFUNCTION("""COMPUTED_VALUE"""),1600000)</f>
        <v>1600000</v>
      </c>
    </row>
    <row r="293" spans="2:9" x14ac:dyDescent="0.3">
      <c r="B293" s="12" t="str">
        <f ca="1">IFERROR(__xludf.DUMMYFUNCTION("""COMPUTED_VALUE"""),"Круг")</f>
        <v>Круг</v>
      </c>
      <c r="C293" s="7" t="str">
        <f ca="1">IFERROR(__xludf.DUMMYFUNCTION("""COMPUTED_VALUE"""),"07Х21Г7АН5-Ш (ЭП222Ш)")</f>
        <v>07Х21Г7АН5-Ш (ЭП222Ш)</v>
      </c>
      <c r="D293" s="13">
        <f ca="1">IFERROR(__xludf.DUMMYFUNCTION("""COMPUTED_VALUE"""),45)</f>
        <v>45</v>
      </c>
      <c r="E293" s="13"/>
      <c r="F293" s="14" t="str">
        <f ca="1">IFERROR(__xludf.DUMMYFUNCTION("""COMPUTED_VALUE"""),"1133/14-1-952 , УЗК ,РТТ")</f>
        <v>1133/14-1-952 , УЗК ,РТТ</v>
      </c>
      <c r="G293" s="15">
        <f ca="1">IFERROR(__xludf.DUMMYFUNCTION("""COMPUTED_VALUE"""),0.527)</f>
        <v>0.52700000000000002</v>
      </c>
      <c r="H293" s="15"/>
      <c r="I293" s="16">
        <f ca="1">IFERROR(__xludf.DUMMYFUNCTION("""COMPUTED_VALUE"""),1600000)</f>
        <v>1600000</v>
      </c>
    </row>
    <row r="294" spans="2:9" x14ac:dyDescent="0.3">
      <c r="B294" s="12" t="str">
        <f ca="1">IFERROR(__xludf.DUMMYFUNCTION("""COMPUTED_VALUE"""),"Круг")</f>
        <v>Круг</v>
      </c>
      <c r="C294" s="7" t="str">
        <f ca="1">IFERROR(__xludf.DUMMYFUNCTION("""COMPUTED_VALUE"""),"07Х21Г7АН5-Ш (ЭП222Ш)")</f>
        <v>07Х21Г7АН5-Ш (ЭП222Ш)</v>
      </c>
      <c r="D294" s="13">
        <f ca="1">IFERROR(__xludf.DUMMYFUNCTION("""COMPUTED_VALUE"""),50)</f>
        <v>50</v>
      </c>
      <c r="E294" s="13"/>
      <c r="F294" s="14" t="str">
        <f ca="1">IFERROR(__xludf.DUMMYFUNCTION("""COMPUTED_VALUE"""),"1133/14-1-952 , УЗК ,РТТ")</f>
        <v>1133/14-1-952 , УЗК ,РТТ</v>
      </c>
      <c r="G294" s="15">
        <f ca="1">IFERROR(__xludf.DUMMYFUNCTION("""COMPUTED_VALUE"""),0.905)</f>
        <v>0.90500000000000003</v>
      </c>
      <c r="H294" s="15"/>
      <c r="I294" s="16">
        <f ca="1">IFERROR(__xludf.DUMMYFUNCTION("""COMPUTED_VALUE"""),1600000)</f>
        <v>1600000</v>
      </c>
    </row>
    <row r="295" spans="2:9" x14ac:dyDescent="0.3">
      <c r="B295" s="12" t="str">
        <f ca="1">IFERROR(__xludf.DUMMYFUNCTION("""COMPUTED_VALUE"""),"Круг")</f>
        <v>Круг</v>
      </c>
      <c r="C295" s="7" t="str">
        <f ca="1">IFERROR(__xludf.DUMMYFUNCTION("""COMPUTED_VALUE"""),"07Х21Г7АН5-Ш (ЭП222Ш)")</f>
        <v>07Х21Г7АН5-Ш (ЭП222Ш)</v>
      </c>
      <c r="D295" s="13">
        <f ca="1">IFERROR(__xludf.DUMMYFUNCTION("""COMPUTED_VALUE"""),50)</f>
        <v>50</v>
      </c>
      <c r="E295" s="13"/>
      <c r="F295" s="14" t="str">
        <f ca="1">IFERROR(__xludf.DUMMYFUNCTION("""COMPUTED_VALUE"""),"2590/14-1-952 , УЗК ,РТТ")</f>
        <v>2590/14-1-952 , УЗК ,РТТ</v>
      </c>
      <c r="G295" s="15">
        <f ca="1">IFERROR(__xludf.DUMMYFUNCTION("""COMPUTED_VALUE"""),0.308)</f>
        <v>0.308</v>
      </c>
      <c r="H295" s="15"/>
      <c r="I295" s="16">
        <f ca="1">IFERROR(__xludf.DUMMYFUNCTION("""COMPUTED_VALUE"""),1600000)</f>
        <v>1600000</v>
      </c>
    </row>
    <row r="296" spans="2:9" x14ac:dyDescent="0.3">
      <c r="B296" s="12" t="str">
        <f ca="1">IFERROR(__xludf.DUMMYFUNCTION("""COMPUTED_VALUE"""),"Круг")</f>
        <v>Круг</v>
      </c>
      <c r="C296" s="7" t="str">
        <f ca="1">IFERROR(__xludf.DUMMYFUNCTION("""COMPUTED_VALUE"""),"07Х21Г7АН5-Ш (ЭП222Ш)")</f>
        <v>07Х21Г7АН5-Ш (ЭП222Ш)</v>
      </c>
      <c r="D296" s="13">
        <f ca="1">IFERROR(__xludf.DUMMYFUNCTION("""COMPUTED_VALUE"""),50)</f>
        <v>50</v>
      </c>
      <c r="E296" s="13"/>
      <c r="F296" s="14" t="str">
        <f ca="1">IFERROR(__xludf.DUMMYFUNCTION("""COMPUTED_VALUE"""),"2590/14-1-952 , УЗК ,РТТ")</f>
        <v>2590/14-1-952 , УЗК ,РТТ</v>
      </c>
      <c r="G296" s="15">
        <f ca="1">IFERROR(__xludf.DUMMYFUNCTION("""COMPUTED_VALUE"""),0.655)</f>
        <v>0.65500000000000003</v>
      </c>
      <c r="H296" s="15"/>
      <c r="I296" s="16">
        <f ca="1">IFERROR(__xludf.DUMMYFUNCTION("""COMPUTED_VALUE"""),1600000)</f>
        <v>1600000</v>
      </c>
    </row>
    <row r="297" spans="2:9" x14ac:dyDescent="0.3">
      <c r="B297" s="12" t="str">
        <f ca="1">IFERROR(__xludf.DUMMYFUNCTION("""COMPUTED_VALUE"""),"Круг")</f>
        <v>Круг</v>
      </c>
      <c r="C297" s="7" t="str">
        <f ca="1">IFERROR(__xludf.DUMMYFUNCTION("""COMPUTED_VALUE"""),"07Х21Г7АН5-Ш (ЭП222Ш)")</f>
        <v>07Х21Г7АН5-Ш (ЭП222Ш)</v>
      </c>
      <c r="D297" s="13">
        <f ca="1">IFERROR(__xludf.DUMMYFUNCTION("""COMPUTED_VALUE"""),56)</f>
        <v>56</v>
      </c>
      <c r="E297" s="13"/>
      <c r="F297" s="14" t="str">
        <f ca="1">IFERROR(__xludf.DUMMYFUNCTION("""COMPUTED_VALUE"""),"2590/14-1-952 , УЗК ,РТТ")</f>
        <v>2590/14-1-952 , УЗК ,РТТ</v>
      </c>
      <c r="G297" s="15">
        <f ca="1">IFERROR(__xludf.DUMMYFUNCTION("""COMPUTED_VALUE"""),1)</f>
        <v>1</v>
      </c>
      <c r="H297" s="15"/>
      <c r="I297" s="16">
        <f ca="1">IFERROR(__xludf.DUMMYFUNCTION("""COMPUTED_VALUE"""),1600000)</f>
        <v>1600000</v>
      </c>
    </row>
    <row r="298" spans="2:9" x14ac:dyDescent="0.3">
      <c r="B298" s="12" t="str">
        <f ca="1">IFERROR(__xludf.DUMMYFUNCTION("""COMPUTED_VALUE"""),"Круг")</f>
        <v>Круг</v>
      </c>
      <c r="C298" s="7" t="str">
        <f ca="1">IFERROR(__xludf.DUMMYFUNCTION("""COMPUTED_VALUE"""),"07Х21Г7АН5-Ш (ЭП222Ш)")</f>
        <v>07Х21Г7АН5-Ш (ЭП222Ш)</v>
      </c>
      <c r="D298" s="13">
        <f ca="1">IFERROR(__xludf.DUMMYFUNCTION("""COMPUTED_VALUE"""),56)</f>
        <v>56</v>
      </c>
      <c r="E298" s="13"/>
      <c r="F298" s="14" t="str">
        <f ca="1">IFERROR(__xludf.DUMMYFUNCTION("""COMPUTED_VALUE"""),"1133/14-1-952 , УЗК ,РТТ")</f>
        <v>1133/14-1-952 , УЗК ,РТТ</v>
      </c>
      <c r="G298" s="15">
        <f ca="1">IFERROR(__xludf.DUMMYFUNCTION("""COMPUTED_VALUE"""),0.515)</f>
        <v>0.51500000000000001</v>
      </c>
      <c r="H298" s="15"/>
      <c r="I298" s="16">
        <f ca="1">IFERROR(__xludf.DUMMYFUNCTION("""COMPUTED_VALUE"""),1600000)</f>
        <v>1600000</v>
      </c>
    </row>
    <row r="299" spans="2:9" x14ac:dyDescent="0.3">
      <c r="B299" s="12" t="str">
        <f ca="1">IFERROR(__xludf.DUMMYFUNCTION("""COMPUTED_VALUE"""),"Круг")</f>
        <v>Круг</v>
      </c>
      <c r="C299" s="7" t="str">
        <f ca="1">IFERROR(__xludf.DUMMYFUNCTION("""COMPUTED_VALUE"""),"07Х21Г7АН5-Ш (ЭП222Ш)")</f>
        <v>07Х21Г7АН5-Ш (ЭП222Ш)</v>
      </c>
      <c r="D299" s="13">
        <f ca="1">IFERROR(__xludf.DUMMYFUNCTION("""COMPUTED_VALUE"""),56)</f>
        <v>56</v>
      </c>
      <c r="E299" s="13"/>
      <c r="F299" s="14" t="str">
        <f ca="1">IFERROR(__xludf.DUMMYFUNCTION("""COMPUTED_VALUE"""),"1133/14-1-952 , УЗК ,РТТ")</f>
        <v>1133/14-1-952 , УЗК ,РТТ</v>
      </c>
      <c r="G299" s="15">
        <f ca="1">IFERROR(__xludf.DUMMYFUNCTION("""COMPUTED_VALUE"""),0.6)</f>
        <v>0.6</v>
      </c>
      <c r="H299" s="15"/>
      <c r="I299" s="16">
        <f ca="1">IFERROR(__xludf.DUMMYFUNCTION("""COMPUTED_VALUE"""),1600000)</f>
        <v>1600000</v>
      </c>
    </row>
    <row r="300" spans="2:9" x14ac:dyDescent="0.3">
      <c r="B300" s="12" t="str">
        <f ca="1">IFERROR(__xludf.DUMMYFUNCTION("""COMPUTED_VALUE"""),"Круг")</f>
        <v>Круг</v>
      </c>
      <c r="C300" s="7" t="str">
        <f ca="1">IFERROR(__xludf.DUMMYFUNCTION("""COMPUTED_VALUE"""),"07Х21Г7АН5-Ш (ЭП222Ш)")</f>
        <v>07Х21Г7АН5-Ш (ЭП222Ш)</v>
      </c>
      <c r="D300" s="13">
        <f ca="1">IFERROR(__xludf.DUMMYFUNCTION("""COMPUTED_VALUE"""),60)</f>
        <v>60</v>
      </c>
      <c r="E300" s="13"/>
      <c r="F300" s="14" t="str">
        <f ca="1">IFERROR(__xludf.DUMMYFUNCTION("""COMPUTED_VALUE"""),"1133/14-1-952 , УЗК ,РТТ")</f>
        <v>1133/14-1-952 , УЗК ,РТТ</v>
      </c>
      <c r="G300" s="15">
        <f ca="1">IFERROR(__xludf.DUMMYFUNCTION("""COMPUTED_VALUE"""),0.105)</f>
        <v>0.105</v>
      </c>
      <c r="H300" s="15"/>
      <c r="I300" s="16">
        <f ca="1">IFERROR(__xludf.DUMMYFUNCTION("""COMPUTED_VALUE"""),1600000)</f>
        <v>1600000</v>
      </c>
    </row>
    <row r="301" spans="2:9" x14ac:dyDescent="0.3">
      <c r="B301" s="12" t="str">
        <f ca="1">IFERROR(__xludf.DUMMYFUNCTION("""COMPUTED_VALUE"""),"Круг")</f>
        <v>Круг</v>
      </c>
      <c r="C301" s="7" t="str">
        <f ca="1">IFERROR(__xludf.DUMMYFUNCTION("""COMPUTED_VALUE"""),"07Х21Г7АН5-Ш (ЭП222Ш)")</f>
        <v>07Х21Г7АН5-Ш (ЭП222Ш)</v>
      </c>
      <c r="D301" s="13">
        <f ca="1">IFERROR(__xludf.DUMMYFUNCTION("""COMPUTED_VALUE"""),60)</f>
        <v>60</v>
      </c>
      <c r="E301" s="13"/>
      <c r="F301" s="14" t="str">
        <f ca="1">IFERROR(__xludf.DUMMYFUNCTION("""COMPUTED_VALUE"""),"2590/14-1-952 , УЗК ,РТТ")</f>
        <v>2590/14-1-952 , УЗК ,РТТ</v>
      </c>
      <c r="G301" s="15">
        <f ca="1">IFERROR(__xludf.DUMMYFUNCTION("""COMPUTED_VALUE"""),0.99)</f>
        <v>0.99</v>
      </c>
      <c r="H301" s="15"/>
      <c r="I301" s="16">
        <f ca="1">IFERROR(__xludf.DUMMYFUNCTION("""COMPUTED_VALUE"""),1600000)</f>
        <v>1600000</v>
      </c>
    </row>
    <row r="302" spans="2:9" x14ac:dyDescent="0.3">
      <c r="B302" s="12" t="str">
        <f ca="1">IFERROR(__xludf.DUMMYFUNCTION("""COMPUTED_VALUE"""),"Круг")</f>
        <v>Круг</v>
      </c>
      <c r="C302" s="7" t="str">
        <f ca="1">IFERROR(__xludf.DUMMYFUNCTION("""COMPUTED_VALUE"""),"07Х21Г7АН5-Ш (ЭП222Ш)")</f>
        <v>07Х21Г7АН5-Ш (ЭП222Ш)</v>
      </c>
      <c r="D302" s="13">
        <f ca="1">IFERROR(__xludf.DUMMYFUNCTION("""COMPUTED_VALUE"""),60)</f>
        <v>60</v>
      </c>
      <c r="E302" s="13"/>
      <c r="F302" s="14" t="str">
        <f ca="1">IFERROR(__xludf.DUMMYFUNCTION("""COMPUTED_VALUE"""),"1133/14-1-952 , УЗК ,РТТ")</f>
        <v>1133/14-1-952 , УЗК ,РТТ</v>
      </c>
      <c r="G302" s="15">
        <f ca="1">IFERROR(__xludf.DUMMYFUNCTION("""COMPUTED_VALUE"""),0.625)</f>
        <v>0.625</v>
      </c>
      <c r="H302" s="15"/>
      <c r="I302" s="16">
        <f ca="1">IFERROR(__xludf.DUMMYFUNCTION("""COMPUTED_VALUE"""),1600000)</f>
        <v>1600000</v>
      </c>
    </row>
    <row r="303" spans="2:9" x14ac:dyDescent="0.3">
      <c r="B303" s="12" t="str">
        <f ca="1">IFERROR(__xludf.DUMMYFUNCTION("""COMPUTED_VALUE"""),"Круг")</f>
        <v>Круг</v>
      </c>
      <c r="C303" s="7" t="str">
        <f ca="1">IFERROR(__xludf.DUMMYFUNCTION("""COMPUTED_VALUE"""),"07Х21Г7АН5-Ш (ЭП222Ш)")</f>
        <v>07Х21Г7АН5-Ш (ЭП222Ш)</v>
      </c>
      <c r="D303" s="13">
        <f ca="1">IFERROR(__xludf.DUMMYFUNCTION("""COMPUTED_VALUE"""),60)</f>
        <v>60</v>
      </c>
      <c r="E303" s="13"/>
      <c r="F303" s="14" t="str">
        <f ca="1">IFERROR(__xludf.DUMMYFUNCTION("""COMPUTED_VALUE"""),"1133/14-1-952 , УЗК ,РТТ")</f>
        <v>1133/14-1-952 , УЗК ,РТТ</v>
      </c>
      <c r="G303" s="15">
        <f ca="1">IFERROR(__xludf.DUMMYFUNCTION("""COMPUTED_VALUE"""),0.595)</f>
        <v>0.59499999999999997</v>
      </c>
      <c r="H303" s="15"/>
      <c r="I303" s="16">
        <f ca="1">IFERROR(__xludf.DUMMYFUNCTION("""COMPUTED_VALUE"""),1600000)</f>
        <v>1600000</v>
      </c>
    </row>
    <row r="304" spans="2:9" x14ac:dyDescent="0.3">
      <c r="B304" s="12" t="str">
        <f ca="1">IFERROR(__xludf.DUMMYFUNCTION("""COMPUTED_VALUE"""),"Круг")</f>
        <v>Круг</v>
      </c>
      <c r="C304" s="7" t="str">
        <f ca="1">IFERROR(__xludf.DUMMYFUNCTION("""COMPUTED_VALUE"""),"07Х21Г7АН5-Ш (ЭП222Ш)")</f>
        <v>07Х21Г7АН5-Ш (ЭП222Ш)</v>
      </c>
      <c r="D304" s="13">
        <f ca="1">IFERROR(__xludf.DUMMYFUNCTION("""COMPUTED_VALUE"""),65)</f>
        <v>65</v>
      </c>
      <c r="E304" s="13"/>
      <c r="F304" s="14" t="str">
        <f ca="1">IFERROR(__xludf.DUMMYFUNCTION("""COMPUTED_VALUE"""),"1133/14-1-952 , УЗК ,РТТ")</f>
        <v>1133/14-1-952 , УЗК ,РТТ</v>
      </c>
      <c r="G304" s="15">
        <f ca="1">IFERROR(__xludf.DUMMYFUNCTION("""COMPUTED_VALUE"""),0.553)</f>
        <v>0.55300000000000005</v>
      </c>
      <c r="H304" s="15"/>
      <c r="I304" s="16">
        <f ca="1">IFERROR(__xludf.DUMMYFUNCTION("""COMPUTED_VALUE"""),1600000)</f>
        <v>1600000</v>
      </c>
    </row>
    <row r="305" spans="2:9" x14ac:dyDescent="0.3">
      <c r="B305" s="12" t="str">
        <f ca="1">IFERROR(__xludf.DUMMYFUNCTION("""COMPUTED_VALUE"""),"Круг")</f>
        <v>Круг</v>
      </c>
      <c r="C305" s="7" t="str">
        <f ca="1">IFERROR(__xludf.DUMMYFUNCTION("""COMPUTED_VALUE"""),"07Х21Г7АН5-Ш (ЭП222Ш)")</f>
        <v>07Х21Г7АН5-Ш (ЭП222Ш)</v>
      </c>
      <c r="D305" s="13">
        <f ca="1">IFERROR(__xludf.DUMMYFUNCTION("""COMPUTED_VALUE"""),65)</f>
        <v>65</v>
      </c>
      <c r="E305" s="13"/>
      <c r="F305" s="14" t="str">
        <f ca="1">IFERROR(__xludf.DUMMYFUNCTION("""COMPUTED_VALUE"""),"1133/14-1-952 , УЗК ,РТТ")</f>
        <v>1133/14-1-952 , УЗК ,РТТ</v>
      </c>
      <c r="G305" s="15">
        <f ca="1">IFERROR(__xludf.DUMMYFUNCTION("""COMPUTED_VALUE"""),0.558999999999999)</f>
        <v>0.55899999999999905</v>
      </c>
      <c r="H305" s="15"/>
      <c r="I305" s="16">
        <f ca="1">IFERROR(__xludf.DUMMYFUNCTION("""COMPUTED_VALUE"""),1600000)</f>
        <v>1600000</v>
      </c>
    </row>
    <row r="306" spans="2:9" x14ac:dyDescent="0.3">
      <c r="B306" s="12" t="str">
        <f ca="1">IFERROR(__xludf.DUMMYFUNCTION("""COMPUTED_VALUE"""),"Круг")</f>
        <v>Круг</v>
      </c>
      <c r="C306" s="7" t="str">
        <f ca="1">IFERROR(__xludf.DUMMYFUNCTION("""COMPUTED_VALUE"""),"07Х21Г7АН5-Ш (ЭП222Ш)")</f>
        <v>07Х21Г7АН5-Ш (ЭП222Ш)</v>
      </c>
      <c r="D306" s="13">
        <f ca="1">IFERROR(__xludf.DUMMYFUNCTION("""COMPUTED_VALUE"""),70)</f>
        <v>70</v>
      </c>
      <c r="E306" s="13"/>
      <c r="F306" s="14" t="str">
        <f ca="1">IFERROR(__xludf.DUMMYFUNCTION("""COMPUTED_VALUE"""),"1133/14-1-952 , УЗК ,РТТ")</f>
        <v>1133/14-1-952 , УЗК ,РТТ</v>
      </c>
      <c r="G306" s="15">
        <f ca="1">IFERROR(__xludf.DUMMYFUNCTION("""COMPUTED_VALUE"""),0.625)</f>
        <v>0.625</v>
      </c>
      <c r="H306" s="15"/>
      <c r="I306" s="16">
        <f ca="1">IFERROR(__xludf.DUMMYFUNCTION("""COMPUTED_VALUE"""),1600000)</f>
        <v>1600000</v>
      </c>
    </row>
    <row r="307" spans="2:9" x14ac:dyDescent="0.3">
      <c r="B307" s="12" t="str">
        <f ca="1">IFERROR(__xludf.DUMMYFUNCTION("""COMPUTED_VALUE"""),"Круг")</f>
        <v>Круг</v>
      </c>
      <c r="C307" s="7" t="str">
        <f ca="1">IFERROR(__xludf.DUMMYFUNCTION("""COMPUTED_VALUE"""),"07Х21Г7АН5-Ш (ЭП222Ш)")</f>
        <v>07Х21Г7АН5-Ш (ЭП222Ш)</v>
      </c>
      <c r="D307" s="13">
        <f ca="1">IFERROR(__xludf.DUMMYFUNCTION("""COMPUTED_VALUE"""),70)</f>
        <v>70</v>
      </c>
      <c r="E307" s="13"/>
      <c r="F307" s="14" t="str">
        <f ca="1">IFERROR(__xludf.DUMMYFUNCTION("""COMPUTED_VALUE"""),"1133/14-1-952 , УЗК ,РТТ")</f>
        <v>1133/14-1-952 , УЗК ,РТТ</v>
      </c>
      <c r="G307" s="15">
        <f ca="1">IFERROR(__xludf.DUMMYFUNCTION("""COMPUTED_VALUE"""),0.754)</f>
        <v>0.754</v>
      </c>
      <c r="H307" s="15"/>
      <c r="I307" s="16">
        <f ca="1">IFERROR(__xludf.DUMMYFUNCTION("""COMPUTED_VALUE"""),1600000)</f>
        <v>1600000</v>
      </c>
    </row>
    <row r="308" spans="2:9" x14ac:dyDescent="0.3">
      <c r="B308" s="12" t="str">
        <f ca="1">IFERROR(__xludf.DUMMYFUNCTION("""COMPUTED_VALUE"""),"Круг")</f>
        <v>Круг</v>
      </c>
      <c r="C308" s="7" t="str">
        <f ca="1">IFERROR(__xludf.DUMMYFUNCTION("""COMPUTED_VALUE"""),"07Х21Г7АН5-Ш (ЭП222Ш)")</f>
        <v>07Х21Г7АН5-Ш (ЭП222Ш)</v>
      </c>
      <c r="D308" s="13">
        <f ca="1">IFERROR(__xludf.DUMMYFUNCTION("""COMPUTED_VALUE"""),75)</f>
        <v>75</v>
      </c>
      <c r="E308" s="13"/>
      <c r="F308" s="14" t="str">
        <f ca="1">IFERROR(__xludf.DUMMYFUNCTION("""COMPUTED_VALUE"""),"1133/14-1-952 , УЗК ,РТТ")</f>
        <v>1133/14-1-952 , УЗК ,РТТ</v>
      </c>
      <c r="G308" s="15">
        <f ca="1">IFERROR(__xludf.DUMMYFUNCTION("""COMPUTED_VALUE"""),0.343)</f>
        <v>0.34300000000000003</v>
      </c>
      <c r="H308" s="15"/>
      <c r="I308" s="16">
        <f ca="1">IFERROR(__xludf.DUMMYFUNCTION("""COMPUTED_VALUE"""),1600000)</f>
        <v>1600000</v>
      </c>
    </row>
    <row r="309" spans="2:9" x14ac:dyDescent="0.3">
      <c r="B309" s="12" t="str">
        <f ca="1">IFERROR(__xludf.DUMMYFUNCTION("""COMPUTED_VALUE"""),"Круг")</f>
        <v>Круг</v>
      </c>
      <c r="C309" s="7" t="str">
        <f ca="1">IFERROR(__xludf.DUMMYFUNCTION("""COMPUTED_VALUE"""),"07Х21Г7АН5-Ш (ЭП222Ш)")</f>
        <v>07Х21Г7АН5-Ш (ЭП222Ш)</v>
      </c>
      <c r="D309" s="13">
        <f ca="1">IFERROR(__xludf.DUMMYFUNCTION("""COMPUTED_VALUE"""),75)</f>
        <v>75</v>
      </c>
      <c r="E309" s="13"/>
      <c r="F309" s="14" t="str">
        <f ca="1">IFERROR(__xludf.DUMMYFUNCTION("""COMPUTED_VALUE"""),"1133/14-1-952 , УЗК ,РТТ")</f>
        <v>1133/14-1-952 , УЗК ,РТТ</v>
      </c>
      <c r="G309" s="15">
        <f ca="1">IFERROR(__xludf.DUMMYFUNCTION("""COMPUTED_VALUE"""),0.902)</f>
        <v>0.90200000000000002</v>
      </c>
      <c r="H309" s="15"/>
      <c r="I309" s="16">
        <f ca="1">IFERROR(__xludf.DUMMYFUNCTION("""COMPUTED_VALUE"""),1600000)</f>
        <v>1600000</v>
      </c>
    </row>
    <row r="310" spans="2:9" x14ac:dyDescent="0.3">
      <c r="B310" s="12" t="str">
        <f ca="1">IFERROR(__xludf.DUMMYFUNCTION("""COMPUTED_VALUE"""),"Круг")</f>
        <v>Круг</v>
      </c>
      <c r="C310" s="7" t="str">
        <f ca="1">IFERROR(__xludf.DUMMYFUNCTION("""COMPUTED_VALUE"""),"07Х21Г7АН5-Ш (ЭП222Ш)")</f>
        <v>07Х21Г7АН5-Ш (ЭП222Ш)</v>
      </c>
      <c r="D310" s="13">
        <f ca="1">IFERROR(__xludf.DUMMYFUNCTION("""COMPUTED_VALUE"""),80)</f>
        <v>80</v>
      </c>
      <c r="E310" s="13"/>
      <c r="F310" s="14" t="str">
        <f ca="1">IFERROR(__xludf.DUMMYFUNCTION("""COMPUTED_VALUE"""),"1133/14-1-952 , УЗК ,РТТ")</f>
        <v>1133/14-1-952 , УЗК ,РТТ</v>
      </c>
      <c r="G310" s="15">
        <f ca="1">IFERROR(__xludf.DUMMYFUNCTION("""COMPUTED_VALUE"""),0.707)</f>
        <v>0.70699999999999996</v>
      </c>
      <c r="H310" s="15"/>
      <c r="I310" s="16">
        <f ca="1">IFERROR(__xludf.DUMMYFUNCTION("""COMPUTED_VALUE"""),1600000)</f>
        <v>1600000</v>
      </c>
    </row>
    <row r="311" spans="2:9" x14ac:dyDescent="0.3">
      <c r="B311" s="12" t="str">
        <f ca="1">IFERROR(__xludf.DUMMYFUNCTION("""COMPUTED_VALUE"""),"Круг")</f>
        <v>Круг</v>
      </c>
      <c r="C311" s="7" t="str">
        <f ca="1">IFERROR(__xludf.DUMMYFUNCTION("""COMPUTED_VALUE"""),"07Х21Г7АН5-Ш (ЭП222Ш)")</f>
        <v>07Х21Г7АН5-Ш (ЭП222Ш)</v>
      </c>
      <c r="D311" s="13">
        <f ca="1">IFERROR(__xludf.DUMMYFUNCTION("""COMPUTED_VALUE"""),80)</f>
        <v>80</v>
      </c>
      <c r="E311" s="13"/>
      <c r="F311" s="14" t="str">
        <f ca="1">IFERROR(__xludf.DUMMYFUNCTION("""COMPUTED_VALUE"""),"1133/14-1-952 , УЗК ,РТТ")</f>
        <v>1133/14-1-952 , УЗК ,РТТ</v>
      </c>
      <c r="G311" s="15">
        <f ca="1">IFERROR(__xludf.DUMMYFUNCTION("""COMPUTED_VALUE"""),0.632)</f>
        <v>0.63200000000000001</v>
      </c>
      <c r="H311" s="15"/>
      <c r="I311" s="16">
        <f ca="1">IFERROR(__xludf.DUMMYFUNCTION("""COMPUTED_VALUE"""),1600000)</f>
        <v>1600000</v>
      </c>
    </row>
    <row r="312" spans="2:9" x14ac:dyDescent="0.3">
      <c r="B312" s="12" t="str">
        <f ca="1">IFERROR(__xludf.DUMMYFUNCTION("""COMPUTED_VALUE"""),"Круг")</f>
        <v>Круг</v>
      </c>
      <c r="C312" s="7" t="str">
        <f ca="1">IFERROR(__xludf.DUMMYFUNCTION("""COMPUTED_VALUE"""),"07Х21Г7АН5-Ш (ЭП222Ш)")</f>
        <v>07Х21Г7АН5-Ш (ЭП222Ш)</v>
      </c>
      <c r="D312" s="13">
        <f ca="1">IFERROR(__xludf.DUMMYFUNCTION("""COMPUTED_VALUE"""),90)</f>
        <v>90</v>
      </c>
      <c r="E312" s="13"/>
      <c r="F312" s="14" t="str">
        <f ca="1">IFERROR(__xludf.DUMMYFUNCTION("""COMPUTED_VALUE"""),"1133/14-1-952 , УЗК ,РТТ")</f>
        <v>1133/14-1-952 , УЗК ,РТТ</v>
      </c>
      <c r="G312" s="15">
        <f ca="1">IFERROR(__xludf.DUMMYFUNCTION("""COMPUTED_VALUE"""),0.44)</f>
        <v>0.44</v>
      </c>
      <c r="H312" s="15"/>
      <c r="I312" s="16">
        <f ca="1">IFERROR(__xludf.DUMMYFUNCTION("""COMPUTED_VALUE"""),1600000)</f>
        <v>1600000</v>
      </c>
    </row>
    <row r="313" spans="2:9" x14ac:dyDescent="0.3">
      <c r="B313" s="12" t="str">
        <f ca="1">IFERROR(__xludf.DUMMYFUNCTION("""COMPUTED_VALUE"""),"Круг")</f>
        <v>Круг</v>
      </c>
      <c r="C313" s="7" t="str">
        <f ca="1">IFERROR(__xludf.DUMMYFUNCTION("""COMPUTED_VALUE"""),"07Х21Г7АН5-Ш (ЭП222Ш)")</f>
        <v>07Х21Г7АН5-Ш (ЭП222Ш)</v>
      </c>
      <c r="D313" s="13">
        <f ca="1">IFERROR(__xludf.DUMMYFUNCTION("""COMPUTED_VALUE"""),90)</f>
        <v>90</v>
      </c>
      <c r="E313" s="13"/>
      <c r="F313" s="14" t="str">
        <f ca="1">IFERROR(__xludf.DUMMYFUNCTION("""COMPUTED_VALUE"""),"1133/14-1-952 , УЗК ,РТТ")</f>
        <v>1133/14-1-952 , УЗК ,РТТ</v>
      </c>
      <c r="G313" s="15">
        <f ca="1">IFERROR(__xludf.DUMMYFUNCTION("""COMPUTED_VALUE"""),0.666)</f>
        <v>0.66600000000000004</v>
      </c>
      <c r="H313" s="15"/>
      <c r="I313" s="16">
        <f ca="1">IFERROR(__xludf.DUMMYFUNCTION("""COMPUTED_VALUE"""),1600000)</f>
        <v>1600000</v>
      </c>
    </row>
    <row r="314" spans="2:9" x14ac:dyDescent="0.3">
      <c r="B314" s="12" t="str">
        <f ca="1">IFERROR(__xludf.DUMMYFUNCTION("""COMPUTED_VALUE"""),"Круг")</f>
        <v>Круг</v>
      </c>
      <c r="C314" s="7" t="str">
        <f ca="1">IFERROR(__xludf.DUMMYFUNCTION("""COMPUTED_VALUE"""),"07Х21Г7АН5-Ш (ЭП222Ш)")</f>
        <v>07Х21Г7АН5-Ш (ЭП222Ш)</v>
      </c>
      <c r="D314" s="13">
        <f ca="1">IFERROR(__xludf.DUMMYFUNCTION("""COMPUTED_VALUE"""),100)</f>
        <v>100</v>
      </c>
      <c r="E314" s="13"/>
      <c r="F314" s="14" t="str">
        <f ca="1">IFERROR(__xludf.DUMMYFUNCTION("""COMPUTED_VALUE"""),"1133/14-1-952 , УЗК ,РТТ")</f>
        <v>1133/14-1-952 , УЗК ,РТТ</v>
      </c>
      <c r="G314" s="15">
        <f ca="1">IFERROR(__xludf.DUMMYFUNCTION("""COMPUTED_VALUE"""),0.223)</f>
        <v>0.223</v>
      </c>
      <c r="H314" s="15"/>
      <c r="I314" s="16">
        <f ca="1">IFERROR(__xludf.DUMMYFUNCTION("""COMPUTED_VALUE"""),1600000)</f>
        <v>1600000</v>
      </c>
    </row>
    <row r="315" spans="2:9" x14ac:dyDescent="0.3">
      <c r="B315" s="12" t="str">
        <f ca="1">IFERROR(__xludf.DUMMYFUNCTION("""COMPUTED_VALUE"""),"Круг")</f>
        <v>Круг</v>
      </c>
      <c r="C315" s="7" t="str">
        <f ca="1">IFERROR(__xludf.DUMMYFUNCTION("""COMPUTED_VALUE"""),"07Х21Г7АН5-Ш (ЭП222Ш)")</f>
        <v>07Х21Г7АН5-Ш (ЭП222Ш)</v>
      </c>
      <c r="D315" s="13">
        <f ca="1">IFERROR(__xludf.DUMMYFUNCTION("""COMPUTED_VALUE"""),100)</f>
        <v>100</v>
      </c>
      <c r="E315" s="13"/>
      <c r="F315" s="14" t="str">
        <f ca="1">IFERROR(__xludf.DUMMYFUNCTION("""COMPUTED_VALUE"""),"1133/14-1-952 , УЗК ,РТТ")</f>
        <v>1133/14-1-952 , УЗК ,РТТ</v>
      </c>
      <c r="G315" s="15">
        <f ca="1">IFERROR(__xludf.DUMMYFUNCTION("""COMPUTED_VALUE"""),0.472)</f>
        <v>0.47199999999999998</v>
      </c>
      <c r="H315" s="15"/>
      <c r="I315" s="16">
        <f ca="1">IFERROR(__xludf.DUMMYFUNCTION("""COMPUTED_VALUE"""),1600000)</f>
        <v>1600000</v>
      </c>
    </row>
    <row r="316" spans="2:9" x14ac:dyDescent="0.3">
      <c r="B316" s="12" t="str">
        <f ca="1">IFERROR(__xludf.DUMMYFUNCTION("""COMPUTED_VALUE"""),"Круг")</f>
        <v>Круг</v>
      </c>
      <c r="C316" s="7" t="str">
        <f ca="1">IFERROR(__xludf.DUMMYFUNCTION("""COMPUTED_VALUE"""),"07Х21Г7АН5-Ш (ЭП222Ш)")</f>
        <v>07Х21Г7АН5-Ш (ЭП222Ш)</v>
      </c>
      <c r="D316" s="13">
        <f ca="1">IFERROR(__xludf.DUMMYFUNCTION("""COMPUTED_VALUE"""),100)</f>
        <v>100</v>
      </c>
      <c r="E316" s="13"/>
      <c r="F316" s="14" t="str">
        <f ca="1">IFERROR(__xludf.DUMMYFUNCTION("""COMPUTED_VALUE"""),"1133/14-1-952 , УЗК ,РТТ")</f>
        <v>1133/14-1-952 , УЗК ,РТТ</v>
      </c>
      <c r="G316" s="15">
        <f ca="1">IFERROR(__xludf.DUMMYFUNCTION("""COMPUTED_VALUE"""),0.703)</f>
        <v>0.70299999999999996</v>
      </c>
      <c r="H316" s="15"/>
      <c r="I316" s="16">
        <f ca="1">IFERROR(__xludf.DUMMYFUNCTION("""COMPUTED_VALUE"""),1600000)</f>
        <v>1600000</v>
      </c>
    </row>
    <row r="317" spans="2:9" x14ac:dyDescent="0.3">
      <c r="B317" s="12" t="str">
        <f ca="1">IFERROR(__xludf.DUMMYFUNCTION("""COMPUTED_VALUE"""),"круг")</f>
        <v>круг</v>
      </c>
      <c r="C317" s="7" t="str">
        <f ca="1">IFERROR(__xludf.DUMMYFUNCTION("""COMPUTED_VALUE"""),"09Х16Н4Б -ш (ЭП56ш)")</f>
        <v>09Х16Н4Б -ш (ЭП56ш)</v>
      </c>
      <c r="D317" s="13">
        <f ca="1">IFERROR(__xludf.DUMMYFUNCTION("""COMPUTED_VALUE"""),10)</f>
        <v>10</v>
      </c>
      <c r="E317" s="13"/>
      <c r="F317" s="14" t="str">
        <f ca="1">IFERROR(__xludf.DUMMYFUNCTION("""COMPUTED_VALUE"""),"ТУ 14-1-463-73")</f>
        <v>ТУ 14-1-463-73</v>
      </c>
      <c r="G317" s="15">
        <f ca="1">IFERROR(__xludf.DUMMYFUNCTION("""COMPUTED_VALUE"""),0.348)</f>
        <v>0.34799999999999998</v>
      </c>
      <c r="H317" s="15"/>
      <c r="I317" s="16">
        <f ca="1">IFERROR(__xludf.DUMMYFUNCTION("""COMPUTED_VALUE"""),1300000)</f>
        <v>1300000</v>
      </c>
    </row>
    <row r="318" spans="2:9" x14ac:dyDescent="0.3">
      <c r="B318" s="12" t="str">
        <f ca="1">IFERROR(__xludf.DUMMYFUNCTION("""COMPUTED_VALUE"""),"круг")</f>
        <v>круг</v>
      </c>
      <c r="C318" s="7" t="str">
        <f ca="1">IFERROR(__xludf.DUMMYFUNCTION("""COMPUTED_VALUE"""),"09Х16Н4Б -ш (ЭП56ш)")</f>
        <v>09Х16Н4Б -ш (ЭП56ш)</v>
      </c>
      <c r="D318" s="13">
        <f ca="1">IFERROR(__xludf.DUMMYFUNCTION("""COMPUTED_VALUE"""),10)</f>
        <v>10</v>
      </c>
      <c r="E318" s="13"/>
      <c r="F318" s="14" t="str">
        <f ca="1">IFERROR(__xludf.DUMMYFUNCTION("""COMPUTED_VALUE"""),"ТУ 14-1-463-73, ГОСТ 2590 3гп РТТ")</f>
        <v>ТУ 14-1-463-73, ГОСТ 2590 3гп РТТ</v>
      </c>
      <c r="G318" s="15">
        <f ca="1">IFERROR(__xludf.DUMMYFUNCTION("""COMPUTED_VALUE"""),0.71)</f>
        <v>0.71</v>
      </c>
      <c r="H318" s="15"/>
      <c r="I318" s="16">
        <f ca="1">IFERROR(__xludf.DUMMYFUNCTION("""COMPUTED_VALUE"""),1300000)</f>
        <v>1300000</v>
      </c>
    </row>
    <row r="319" spans="2:9" x14ac:dyDescent="0.3">
      <c r="B319" s="12" t="str">
        <f ca="1">IFERROR(__xludf.DUMMYFUNCTION("""COMPUTED_VALUE"""),"круг")</f>
        <v>круг</v>
      </c>
      <c r="C319" s="7" t="str">
        <f ca="1">IFERROR(__xludf.DUMMYFUNCTION("""COMPUTED_VALUE"""),"09Х16Н4Б -ш (ЭП56ш)")</f>
        <v>09Х16Н4Б -ш (ЭП56ш)</v>
      </c>
      <c r="D319" s="13">
        <f ca="1">IFERROR(__xludf.DUMMYFUNCTION("""COMPUTED_VALUE"""),20)</f>
        <v>20</v>
      </c>
      <c r="E319" s="13"/>
      <c r="F319" s="14" t="str">
        <f ca="1">IFERROR(__xludf.DUMMYFUNCTION("""COMPUTED_VALUE"""),"ТУ 14-1-463-73, ГОСТ 2590 3гп без РТТ")</f>
        <v>ТУ 14-1-463-73, ГОСТ 2590 3гп без РТТ</v>
      </c>
      <c r="G319" s="15">
        <f ca="1">IFERROR(__xludf.DUMMYFUNCTION("""COMPUTED_VALUE"""),1.374)</f>
        <v>1.3740000000000001</v>
      </c>
      <c r="H319" s="15"/>
      <c r="I319" s="16">
        <f ca="1">IFERROR(__xludf.DUMMYFUNCTION("""COMPUTED_VALUE"""),1300000)</f>
        <v>1300000</v>
      </c>
    </row>
    <row r="320" spans="2:9" x14ac:dyDescent="0.3">
      <c r="B320" s="12" t="str">
        <f ca="1">IFERROR(__xludf.DUMMYFUNCTION("""COMPUTED_VALUE"""),"круг")</f>
        <v>круг</v>
      </c>
      <c r="C320" s="7" t="str">
        <f ca="1">IFERROR(__xludf.DUMMYFUNCTION("""COMPUTED_VALUE"""),"09Х16Н4Б -ш (ЭП56ш)")</f>
        <v>09Х16Н4Б -ш (ЭП56ш)</v>
      </c>
      <c r="D320" s="13">
        <f ca="1">IFERROR(__xludf.DUMMYFUNCTION("""COMPUTED_VALUE"""),36)</f>
        <v>36</v>
      </c>
      <c r="E320" s="13"/>
      <c r="F320" s="14" t="str">
        <f ca="1">IFERROR(__xludf.DUMMYFUNCTION("""COMPUTED_VALUE"""),"ТУ 14-1-463-73, ГОСТ 2590 3гп РТТ")</f>
        <v>ТУ 14-1-463-73, ГОСТ 2590 3гп РТТ</v>
      </c>
      <c r="G320" s="15">
        <f ca="1">IFERROR(__xludf.DUMMYFUNCTION("""COMPUTED_VALUE"""),1.604)</f>
        <v>1.6040000000000001</v>
      </c>
      <c r="H320" s="15"/>
      <c r="I320" s="16">
        <f ca="1">IFERROR(__xludf.DUMMYFUNCTION("""COMPUTED_VALUE"""),1300000)</f>
        <v>1300000</v>
      </c>
    </row>
    <row r="321" spans="2:9" x14ac:dyDescent="0.3">
      <c r="B321" s="12" t="str">
        <f ca="1">IFERROR(__xludf.DUMMYFUNCTION("""COMPUTED_VALUE"""),"круг")</f>
        <v>круг</v>
      </c>
      <c r="C321" s="7" t="str">
        <f ca="1">IFERROR(__xludf.DUMMYFUNCTION("""COMPUTED_VALUE"""),"09Х16Н4Б -ш (ЭП56ш)")</f>
        <v>09Х16Н4Б -ш (ЭП56ш)</v>
      </c>
      <c r="D321" s="13">
        <f ca="1">IFERROR(__xludf.DUMMYFUNCTION("""COMPUTED_VALUE"""),40)</f>
        <v>40</v>
      </c>
      <c r="E321" s="13"/>
      <c r="F321" s="14" t="str">
        <f ca="1">IFERROR(__xludf.DUMMYFUNCTION("""COMPUTED_VALUE"""),"ТУ 14-1-463-73, ГОСТ 2590 3гп РТТ")</f>
        <v>ТУ 14-1-463-73, ГОСТ 2590 3гп РТТ</v>
      </c>
      <c r="G321" s="15">
        <f ca="1">IFERROR(__xludf.DUMMYFUNCTION("""COMPUTED_VALUE"""),1.79999999999999)</f>
        <v>1.7999999999999901</v>
      </c>
      <c r="H321" s="15"/>
      <c r="I321" s="16">
        <f ca="1">IFERROR(__xludf.DUMMYFUNCTION("""COMPUTED_VALUE"""),1300000)</f>
        <v>1300000</v>
      </c>
    </row>
    <row r="322" spans="2:9" x14ac:dyDescent="0.3">
      <c r="B322" s="12" t="str">
        <f ca="1">IFERROR(__xludf.DUMMYFUNCTION("""COMPUTED_VALUE"""),"круг")</f>
        <v>круг</v>
      </c>
      <c r="C322" s="7" t="str">
        <f ca="1">IFERROR(__xludf.DUMMYFUNCTION("""COMPUTED_VALUE"""),"09Х16Н4Б -ш (ЭП56ш)")</f>
        <v>09Х16Н4Б -ш (ЭП56ш)</v>
      </c>
      <c r="D322" s="13">
        <f ca="1">IFERROR(__xludf.DUMMYFUNCTION("""COMPUTED_VALUE"""),45)</f>
        <v>45</v>
      </c>
      <c r="E322" s="13"/>
      <c r="F322" s="14" t="str">
        <f ca="1">IFERROR(__xludf.DUMMYFUNCTION("""COMPUTED_VALUE"""),"ТУ 14-1-463-73, ГОСТ 2590 3гп РТТ")</f>
        <v>ТУ 14-1-463-73, ГОСТ 2590 3гп РТТ</v>
      </c>
      <c r="G322" s="15">
        <f ca="1">IFERROR(__xludf.DUMMYFUNCTION("""COMPUTED_VALUE"""),1.887)</f>
        <v>1.887</v>
      </c>
      <c r="H322" s="15"/>
      <c r="I322" s="16">
        <f ca="1">IFERROR(__xludf.DUMMYFUNCTION("""COMPUTED_VALUE"""),1300000)</f>
        <v>1300000</v>
      </c>
    </row>
    <row r="323" spans="2:9" x14ac:dyDescent="0.3">
      <c r="B323" s="12" t="str">
        <f ca="1">IFERROR(__xludf.DUMMYFUNCTION("""COMPUTED_VALUE"""),"круг")</f>
        <v>круг</v>
      </c>
      <c r="C323" s="7" t="str">
        <f ca="1">IFERROR(__xludf.DUMMYFUNCTION("""COMPUTED_VALUE"""),"09Х16Н4Б (ЭП56)  калибр")</f>
        <v>09Х16Н4Б (ЭП56)  калибр</v>
      </c>
      <c r="D323" s="13">
        <f ca="1">IFERROR(__xludf.DUMMYFUNCTION("""COMPUTED_VALUE"""),3)</f>
        <v>3</v>
      </c>
      <c r="E323" s="13"/>
      <c r="F323" s="14" t="str">
        <f ca="1">IFERROR(__xludf.DUMMYFUNCTION("""COMPUTED_VALUE"""),"ту 3564, ГОСТ 14955, РТТ? h9")</f>
        <v>ту 3564, ГОСТ 14955, РТТ? h9</v>
      </c>
      <c r="G323" s="15">
        <f ca="1">IFERROR(__xludf.DUMMYFUNCTION("""COMPUTED_VALUE"""),0.05)</f>
        <v>0.05</v>
      </c>
      <c r="H323" s="15"/>
      <c r="I323" s="16">
        <f ca="1">IFERROR(__xludf.DUMMYFUNCTION("""COMPUTED_VALUE"""),3000000)</f>
        <v>3000000</v>
      </c>
    </row>
    <row r="324" spans="2:9" x14ac:dyDescent="0.3">
      <c r="B324" s="12" t="str">
        <f ca="1">IFERROR(__xludf.DUMMYFUNCTION("""COMPUTED_VALUE"""),"круг")</f>
        <v>круг</v>
      </c>
      <c r="C324" s="7" t="str">
        <f ca="1">IFERROR(__xludf.DUMMYFUNCTION("""COMPUTED_VALUE"""),"09Х16Н4Б (ЭП56)  калибр")</f>
        <v>09Х16Н4Б (ЭП56)  калибр</v>
      </c>
      <c r="D324" s="13">
        <f ca="1">IFERROR(__xludf.DUMMYFUNCTION("""COMPUTED_VALUE"""),5)</f>
        <v>5</v>
      </c>
      <c r="E324" s="13"/>
      <c r="F324" s="14" t="str">
        <f ca="1">IFERROR(__xludf.DUMMYFUNCTION("""COMPUTED_VALUE"""),"ту 3564, ГОСТ 14955, РТТ? h9")</f>
        <v>ту 3564, ГОСТ 14955, РТТ? h9</v>
      </c>
      <c r="G324" s="15">
        <f ca="1">IFERROR(__xludf.DUMMYFUNCTION("""COMPUTED_VALUE"""),0.05)</f>
        <v>0.05</v>
      </c>
      <c r="H324" s="15"/>
      <c r="I324" s="16">
        <f ca="1">IFERROR(__xludf.DUMMYFUNCTION("""COMPUTED_VALUE"""),2100000)</f>
        <v>2100000</v>
      </c>
    </row>
    <row r="325" spans="2:9" x14ac:dyDescent="0.3">
      <c r="B325" s="12" t="str">
        <f ca="1">IFERROR(__xludf.DUMMYFUNCTION("""COMPUTED_VALUE"""),"круг")</f>
        <v>круг</v>
      </c>
      <c r="C325" s="7" t="str">
        <f ca="1">IFERROR(__xludf.DUMMYFUNCTION("""COMPUTED_VALUE"""),"09Х16Н4Б (ЭП56)  калибр")</f>
        <v>09Х16Н4Б (ЭП56)  калибр</v>
      </c>
      <c r="D325" s="13">
        <f ca="1">IFERROR(__xludf.DUMMYFUNCTION("""COMPUTED_VALUE"""),6)</f>
        <v>6</v>
      </c>
      <c r="E325" s="13"/>
      <c r="F325" s="14" t="str">
        <f ca="1">IFERROR(__xludf.DUMMYFUNCTION("""COMPUTED_VALUE"""),"ту 3564, ГОСТ 14955, РТТ? h9")</f>
        <v>ту 3564, ГОСТ 14955, РТТ? h9</v>
      </c>
      <c r="G325" s="15">
        <f ca="1">IFERROR(__xludf.DUMMYFUNCTION("""COMPUTED_VALUE"""),0.15)</f>
        <v>0.15</v>
      </c>
      <c r="H325" s="15"/>
      <c r="I325" s="16">
        <f ca="1">IFERROR(__xludf.DUMMYFUNCTION("""COMPUTED_VALUE"""),2100000)</f>
        <v>2100000</v>
      </c>
    </row>
    <row r="326" spans="2:9" x14ac:dyDescent="0.3">
      <c r="B326" s="12" t="str">
        <f ca="1">IFERROR(__xludf.DUMMYFUNCTION("""COMPUTED_VALUE"""),"круг")</f>
        <v>круг</v>
      </c>
      <c r="C326" s="7" t="str">
        <f ca="1">IFERROR(__xludf.DUMMYFUNCTION("""COMPUTED_VALUE"""),"09Х16Н4Б (ЭП56)  калибр")</f>
        <v>09Х16Н4Б (ЭП56)  калибр</v>
      </c>
      <c r="D326" s="13">
        <f ca="1">IFERROR(__xludf.DUMMYFUNCTION("""COMPUTED_VALUE"""),8)</f>
        <v>8</v>
      </c>
      <c r="E326" s="13"/>
      <c r="F326" s="14" t="str">
        <f ca="1">IFERROR(__xludf.DUMMYFUNCTION("""COMPUTED_VALUE"""),"ту 3564, ГОСТ 14955, РТТ? h9")</f>
        <v>ту 3564, ГОСТ 14955, РТТ? h9</v>
      </c>
      <c r="G326" s="15">
        <f ca="1">IFERROR(__xludf.DUMMYFUNCTION("""COMPUTED_VALUE"""),0.3)</f>
        <v>0.3</v>
      </c>
      <c r="H326" s="15"/>
      <c r="I326" s="16">
        <f ca="1">IFERROR(__xludf.DUMMYFUNCTION("""COMPUTED_VALUE"""),2100000)</f>
        <v>2100000</v>
      </c>
    </row>
    <row r="327" spans="2:9" x14ac:dyDescent="0.3">
      <c r="B327" s="12" t="str">
        <f ca="1">IFERROR(__xludf.DUMMYFUNCTION("""COMPUTED_VALUE"""),"круг")</f>
        <v>круг</v>
      </c>
      <c r="C327" s="7" t="str">
        <f ca="1">IFERROR(__xludf.DUMMYFUNCTION("""COMPUTED_VALUE"""),"09Х16Н4Б (ЭП56)  калибр")</f>
        <v>09Х16Н4Б (ЭП56)  калибр</v>
      </c>
      <c r="D327" s="13">
        <f ca="1">IFERROR(__xludf.DUMMYFUNCTION("""COMPUTED_VALUE"""),10)</f>
        <v>10</v>
      </c>
      <c r="E327" s="13"/>
      <c r="F327" s="14" t="str">
        <f ca="1">IFERROR(__xludf.DUMMYFUNCTION("""COMPUTED_VALUE"""),"ту 3564, ГОСТ 14955, РТТ? h9")</f>
        <v>ту 3564, ГОСТ 14955, РТТ? h9</v>
      </c>
      <c r="G327" s="15">
        <f ca="1">IFERROR(__xludf.DUMMYFUNCTION("""COMPUTED_VALUE"""),0.3)</f>
        <v>0.3</v>
      </c>
      <c r="H327" s="15"/>
      <c r="I327" s="16">
        <f ca="1">IFERROR(__xludf.DUMMYFUNCTION("""COMPUTED_VALUE"""),2100000)</f>
        <v>2100000</v>
      </c>
    </row>
    <row r="328" spans="2:9" x14ac:dyDescent="0.3">
      <c r="B328" s="12" t="str">
        <f ca="1">IFERROR(__xludf.DUMMYFUNCTION("""COMPUTED_VALUE"""),"круг")</f>
        <v>круг</v>
      </c>
      <c r="C328" s="7" t="str">
        <f ca="1">IFERROR(__xludf.DUMMYFUNCTION("""COMPUTED_VALUE"""),"09Х16Н4Б (ЭП56)  калибр")</f>
        <v>09Х16Н4Б (ЭП56)  калибр</v>
      </c>
      <c r="D328" s="13">
        <f ca="1">IFERROR(__xludf.DUMMYFUNCTION("""COMPUTED_VALUE"""),12)</f>
        <v>12</v>
      </c>
      <c r="E328" s="13"/>
      <c r="F328" s="14" t="str">
        <f ca="1">IFERROR(__xludf.DUMMYFUNCTION("""COMPUTED_VALUE"""),"ту 3564, ГОСТ 14955, РТТ? h9")</f>
        <v>ту 3564, ГОСТ 14955, РТТ? h9</v>
      </c>
      <c r="G328" s="15">
        <f ca="1">IFERROR(__xludf.DUMMYFUNCTION("""COMPUTED_VALUE"""),0.271)</f>
        <v>0.27100000000000002</v>
      </c>
      <c r="H328" s="15"/>
      <c r="I328" s="16">
        <f ca="1">IFERROR(__xludf.DUMMYFUNCTION("""COMPUTED_VALUE"""),2100000)</f>
        <v>2100000</v>
      </c>
    </row>
    <row r="329" spans="2:9" x14ac:dyDescent="0.3">
      <c r="B329" s="12" t="str">
        <f ca="1">IFERROR(__xludf.DUMMYFUNCTION("""COMPUTED_VALUE"""),"круг")</f>
        <v>круг</v>
      </c>
      <c r="C329" s="7" t="str">
        <f ca="1">IFERROR(__xludf.DUMMYFUNCTION("""COMPUTED_VALUE"""),"09Х16Н4Б (ЭП56)  калибр")</f>
        <v>09Х16Н4Б (ЭП56)  калибр</v>
      </c>
      <c r="D329" s="13">
        <f ca="1">IFERROR(__xludf.DUMMYFUNCTION("""COMPUTED_VALUE"""),14)</f>
        <v>14</v>
      </c>
      <c r="E329" s="13"/>
      <c r="F329" s="14" t="str">
        <f ca="1">IFERROR(__xludf.DUMMYFUNCTION("""COMPUTED_VALUE"""),"ту 3564, ГОСТ 14955, РТТ? h9")</f>
        <v>ту 3564, ГОСТ 14955, РТТ? h9</v>
      </c>
      <c r="G329" s="15">
        <f ca="1">IFERROR(__xludf.DUMMYFUNCTION("""COMPUTED_VALUE"""),0.273)</f>
        <v>0.27300000000000002</v>
      </c>
      <c r="H329" s="15"/>
      <c r="I329" s="16">
        <f ca="1">IFERROR(__xludf.DUMMYFUNCTION("""COMPUTED_VALUE"""),2100000)</f>
        <v>2100000</v>
      </c>
    </row>
    <row r="330" spans="2:9" x14ac:dyDescent="0.3">
      <c r="B330" s="12" t="str">
        <f ca="1">IFERROR(__xludf.DUMMYFUNCTION("""COMPUTED_VALUE"""),"круг")</f>
        <v>круг</v>
      </c>
      <c r="C330" s="7" t="str">
        <f ca="1">IFERROR(__xludf.DUMMYFUNCTION("""COMPUTED_VALUE"""),"09Х16Н4Б (ЭП56)  калибр")</f>
        <v>09Х16Н4Б (ЭП56)  калибр</v>
      </c>
      <c r="D330" s="13">
        <f ca="1">IFERROR(__xludf.DUMMYFUNCTION("""COMPUTED_VALUE"""),18)</f>
        <v>18</v>
      </c>
      <c r="E330" s="13"/>
      <c r="F330" s="14" t="str">
        <f ca="1">IFERROR(__xludf.DUMMYFUNCTION("""COMPUTED_VALUE"""),"ту 3564, ГОСТ 14955, РТТ? h9")</f>
        <v>ту 3564, ГОСТ 14955, РТТ? h9</v>
      </c>
      <c r="G330" s="15">
        <f ca="1">IFERROR(__xludf.DUMMYFUNCTION("""COMPUTED_VALUE"""),0.273)</f>
        <v>0.27300000000000002</v>
      </c>
      <c r="H330" s="15"/>
      <c r="I330" s="16">
        <f ca="1">IFERROR(__xludf.DUMMYFUNCTION("""COMPUTED_VALUE"""),1900000)</f>
        <v>1900000</v>
      </c>
    </row>
    <row r="331" spans="2:9" x14ac:dyDescent="0.3">
      <c r="B331" s="12" t="str">
        <f ca="1">IFERROR(__xludf.DUMMYFUNCTION("""COMPUTED_VALUE"""),"круг")</f>
        <v>круг</v>
      </c>
      <c r="C331" s="7" t="str">
        <f ca="1">IFERROR(__xludf.DUMMYFUNCTION("""COMPUTED_VALUE"""),"09Х16Н4Б (ЭП56)")</f>
        <v>09Х16Н4Б (ЭП56)</v>
      </c>
      <c r="D331" s="13">
        <f ca="1">IFERROR(__xludf.DUMMYFUNCTION("""COMPUTED_VALUE"""),8)</f>
        <v>8</v>
      </c>
      <c r="E331" s="13"/>
      <c r="F331" s="14" t="str">
        <f ca="1">IFERROR(__xludf.DUMMYFUNCTION("""COMPUTED_VALUE"""),"2590/14-1-3564 РТТ, 3ГП")</f>
        <v>2590/14-1-3564 РТТ, 3ГП</v>
      </c>
      <c r="G331" s="15">
        <f ca="1">IFERROR(__xludf.DUMMYFUNCTION("""COMPUTED_VALUE"""),0.240999999999999)</f>
        <v>0.24099999999999899</v>
      </c>
      <c r="H331" s="15"/>
      <c r="I331" s="16">
        <f ca="1">IFERROR(__xludf.DUMMYFUNCTION("""COMPUTED_VALUE"""),800000)</f>
        <v>800000</v>
      </c>
    </row>
    <row r="332" spans="2:9" x14ac:dyDescent="0.3">
      <c r="B332" s="12" t="str">
        <f ca="1">IFERROR(__xludf.DUMMYFUNCTION("""COMPUTED_VALUE"""),"круг")</f>
        <v>круг</v>
      </c>
      <c r="C332" s="7" t="str">
        <f ca="1">IFERROR(__xludf.DUMMYFUNCTION("""COMPUTED_VALUE"""),"09Х16Н4Б (ЭП56)")</f>
        <v>09Х16Н4Б (ЭП56)</v>
      </c>
      <c r="D332" s="13">
        <f ca="1">IFERROR(__xludf.DUMMYFUNCTION("""COMPUTED_VALUE"""),10)</f>
        <v>10</v>
      </c>
      <c r="E332" s="13"/>
      <c r="F332" s="14" t="str">
        <f ca="1">IFERROR(__xludf.DUMMYFUNCTION("""COMPUTED_VALUE"""),"2590/14-1-3564 РТТ, 3ГП")</f>
        <v>2590/14-1-3564 РТТ, 3ГП</v>
      </c>
      <c r="G332" s="15">
        <f ca="1">IFERROR(__xludf.DUMMYFUNCTION("""COMPUTED_VALUE"""),0.639999999999999)</f>
        <v>0.63999999999999901</v>
      </c>
      <c r="H332" s="15"/>
      <c r="I332" s="16">
        <f ca="1">IFERROR(__xludf.DUMMYFUNCTION("""COMPUTED_VALUE"""),800000)</f>
        <v>800000</v>
      </c>
    </row>
    <row r="333" spans="2:9" x14ac:dyDescent="0.3">
      <c r="B333" s="12" t="str">
        <f ca="1">IFERROR(__xludf.DUMMYFUNCTION("""COMPUTED_VALUE"""),"круг")</f>
        <v>круг</v>
      </c>
      <c r="C333" s="7" t="str">
        <f ca="1">IFERROR(__xludf.DUMMYFUNCTION("""COMPUTED_VALUE"""),"09Х16Н4Б (ЭП56)")</f>
        <v>09Х16Н4Б (ЭП56)</v>
      </c>
      <c r="D333" s="13">
        <f ca="1">IFERROR(__xludf.DUMMYFUNCTION("""COMPUTED_VALUE"""),10)</f>
        <v>10</v>
      </c>
      <c r="E333" s="13"/>
      <c r="F333" s="14" t="str">
        <f ca="1">IFERROR(__xludf.DUMMYFUNCTION("""COMPUTED_VALUE"""),"2590/14-1-3564 РТТ, 3ГП")</f>
        <v>2590/14-1-3564 РТТ, 3ГП</v>
      </c>
      <c r="G333" s="15">
        <f ca="1">IFERROR(__xludf.DUMMYFUNCTION("""COMPUTED_VALUE"""),0.306)</f>
        <v>0.30599999999999999</v>
      </c>
      <c r="H333" s="15"/>
      <c r="I333" s="16">
        <f ca="1">IFERROR(__xludf.DUMMYFUNCTION("""COMPUTED_VALUE"""),800000)</f>
        <v>800000</v>
      </c>
    </row>
    <row r="334" spans="2:9" x14ac:dyDescent="0.3">
      <c r="B334" s="12" t="str">
        <f ca="1">IFERROR(__xludf.DUMMYFUNCTION("""COMPUTED_VALUE"""),"круг")</f>
        <v>круг</v>
      </c>
      <c r="C334" s="7" t="str">
        <f ca="1">IFERROR(__xludf.DUMMYFUNCTION("""COMPUTED_VALUE"""),"09Х16Н4Б (ЭП56)")</f>
        <v>09Х16Н4Б (ЭП56)</v>
      </c>
      <c r="D334" s="13">
        <f ca="1">IFERROR(__xludf.DUMMYFUNCTION("""COMPUTED_VALUE"""),12)</f>
        <v>12</v>
      </c>
      <c r="E334" s="13"/>
      <c r="F334" s="14" t="str">
        <f ca="1">IFERROR(__xludf.DUMMYFUNCTION("""COMPUTED_VALUE"""),"ту14-1-3564, РТТ, УЗК,2ГП, ")</f>
        <v xml:space="preserve">ту14-1-3564, РТТ, УЗК,2ГП, </v>
      </c>
      <c r="G334" s="15">
        <f ca="1">IFERROR(__xludf.DUMMYFUNCTION("""COMPUTED_VALUE"""),0.0859999999999998)</f>
        <v>8.5999999999999799E-2</v>
      </c>
      <c r="H334" s="15"/>
      <c r="I334" s="16">
        <f ca="1">IFERROR(__xludf.DUMMYFUNCTION("""COMPUTED_VALUE"""),680000)</f>
        <v>680000</v>
      </c>
    </row>
    <row r="335" spans="2:9" x14ac:dyDescent="0.3">
      <c r="B335" s="12" t="str">
        <f ca="1">IFERROR(__xludf.DUMMYFUNCTION("""COMPUTED_VALUE"""),"круг")</f>
        <v>круг</v>
      </c>
      <c r="C335" s="7" t="str">
        <f ca="1">IFERROR(__xludf.DUMMYFUNCTION("""COMPUTED_VALUE"""),"09Х16Н4Б (ЭП56)")</f>
        <v>09Х16Н4Б (ЭП56)</v>
      </c>
      <c r="D335" s="13">
        <f ca="1">IFERROR(__xludf.DUMMYFUNCTION("""COMPUTED_VALUE"""),14)</f>
        <v>14</v>
      </c>
      <c r="E335" s="13"/>
      <c r="F335" s="14" t="str">
        <f ca="1">IFERROR(__xludf.DUMMYFUNCTION("""COMPUTED_VALUE"""),"2590/5949, РТТ 3ГП")</f>
        <v>2590/5949, РТТ 3ГП</v>
      </c>
      <c r="G335" s="15">
        <f ca="1">IFERROR(__xludf.DUMMYFUNCTION("""COMPUTED_VALUE"""),0.0509999999999999)</f>
        <v>5.09999999999999E-2</v>
      </c>
      <c r="H335" s="15"/>
      <c r="I335" s="16">
        <f ca="1">IFERROR(__xludf.DUMMYFUNCTION("""COMPUTED_VALUE"""),800000)</f>
        <v>800000</v>
      </c>
    </row>
    <row r="336" spans="2:9" x14ac:dyDescent="0.3">
      <c r="B336" s="12" t="str">
        <f ca="1">IFERROR(__xludf.DUMMYFUNCTION("""COMPUTED_VALUE"""),"круг")</f>
        <v>круг</v>
      </c>
      <c r="C336" s="7" t="str">
        <f ca="1">IFERROR(__xludf.DUMMYFUNCTION("""COMPUTED_VALUE"""),"09Х16Н4Б (ЭП56)")</f>
        <v>09Х16Н4Б (ЭП56)</v>
      </c>
      <c r="D336" s="13">
        <f ca="1">IFERROR(__xludf.DUMMYFUNCTION("""COMPUTED_VALUE"""),15)</f>
        <v>15</v>
      </c>
      <c r="E336" s="13"/>
      <c r="F336" s="14" t="str">
        <f ca="1">IFERROR(__xludf.DUMMYFUNCTION("""COMPUTED_VALUE"""),"2590/14-1-3564 РТТ, 3ГП")</f>
        <v>2590/14-1-3564 РТТ, 3ГП</v>
      </c>
      <c r="G336" s="15">
        <f ca="1">IFERROR(__xludf.DUMMYFUNCTION("""COMPUTED_VALUE"""),1)</f>
        <v>1</v>
      </c>
      <c r="H336" s="15"/>
      <c r="I336" s="16">
        <f ca="1">IFERROR(__xludf.DUMMYFUNCTION("""COMPUTED_VALUE"""),800000)</f>
        <v>800000</v>
      </c>
    </row>
    <row r="337" spans="2:9" x14ac:dyDescent="0.3">
      <c r="B337" s="12" t="str">
        <f ca="1">IFERROR(__xludf.DUMMYFUNCTION("""COMPUTED_VALUE"""),"круг")</f>
        <v>круг</v>
      </c>
      <c r="C337" s="7" t="str">
        <f ca="1">IFERROR(__xludf.DUMMYFUNCTION("""COMPUTED_VALUE"""),"09Х16Н4Б (ЭП56)")</f>
        <v>09Х16Н4Б (ЭП56)</v>
      </c>
      <c r="D337" s="13">
        <f ca="1">IFERROR(__xludf.DUMMYFUNCTION("""COMPUTED_VALUE"""),18)</f>
        <v>18</v>
      </c>
      <c r="E337" s="13"/>
      <c r="F337" s="14" t="str">
        <f ca="1">IFERROR(__xludf.DUMMYFUNCTION("""COMPUTED_VALUE"""),"2590/5949, РТТ 3ГП")</f>
        <v>2590/5949, РТТ 3ГП</v>
      </c>
      <c r="G337" s="15">
        <f ca="1">IFERROR(__xludf.DUMMYFUNCTION("""COMPUTED_VALUE"""),0.3)</f>
        <v>0.3</v>
      </c>
      <c r="H337" s="15"/>
      <c r="I337" s="16">
        <f ca="1">IFERROR(__xludf.DUMMYFUNCTION("""COMPUTED_VALUE"""),750000)</f>
        <v>750000</v>
      </c>
    </row>
    <row r="338" spans="2:9" x14ac:dyDescent="0.3">
      <c r="B338" s="12" t="str">
        <f ca="1">IFERROR(__xludf.DUMMYFUNCTION("""COMPUTED_VALUE"""),"круг")</f>
        <v>круг</v>
      </c>
      <c r="C338" s="7" t="str">
        <f ca="1">IFERROR(__xludf.DUMMYFUNCTION("""COMPUTED_VALUE"""),"09Х16Н4Б (ЭП56)")</f>
        <v>09Х16Н4Б (ЭП56)</v>
      </c>
      <c r="D338" s="13">
        <f ca="1">IFERROR(__xludf.DUMMYFUNCTION("""COMPUTED_VALUE"""),18)</f>
        <v>18</v>
      </c>
      <c r="E338" s="13"/>
      <c r="F338" s="14" t="str">
        <f ca="1">IFERROR(__xludf.DUMMYFUNCTION("""COMPUTED_VALUE"""),"ту14-1-3564, РТТ, УЗК,2ГП, ")</f>
        <v xml:space="preserve">ту14-1-3564, РТТ, УЗК,2ГП, </v>
      </c>
      <c r="G338" s="15">
        <f ca="1">IFERROR(__xludf.DUMMYFUNCTION("""COMPUTED_VALUE"""),0.245999999999999)</f>
        <v>0.245999999999999</v>
      </c>
      <c r="H338" s="15"/>
      <c r="I338" s="16">
        <f ca="1">IFERROR(__xludf.DUMMYFUNCTION("""COMPUTED_VALUE"""),680000)</f>
        <v>680000</v>
      </c>
    </row>
    <row r="339" spans="2:9" x14ac:dyDescent="0.3">
      <c r="B339" s="12" t="str">
        <f ca="1">IFERROR(__xludf.DUMMYFUNCTION("""COMPUTED_VALUE"""),"круг")</f>
        <v>круг</v>
      </c>
      <c r="C339" s="7" t="str">
        <f ca="1">IFERROR(__xludf.DUMMYFUNCTION("""COMPUTED_VALUE"""),"09Х16Н4Б (ЭП56)")</f>
        <v>09Х16Н4Б (ЭП56)</v>
      </c>
      <c r="D339" s="13">
        <f ca="1">IFERROR(__xludf.DUMMYFUNCTION("""COMPUTED_VALUE"""),20)</f>
        <v>20</v>
      </c>
      <c r="E339" s="13"/>
      <c r="F339" s="14" t="str">
        <f ca="1">IFERROR(__xludf.DUMMYFUNCTION("""COMPUTED_VALUE"""),"ту14-1-3564, РТТ, УЗК,2ГП, ")</f>
        <v xml:space="preserve">ту14-1-3564, РТТ, УЗК,2ГП, </v>
      </c>
      <c r="G339" s="15">
        <f ca="1">IFERROR(__xludf.DUMMYFUNCTION("""COMPUTED_VALUE"""),0.045)</f>
        <v>4.4999999999999998E-2</v>
      </c>
      <c r="H339" s="15"/>
      <c r="I339" s="16">
        <f ca="1">IFERROR(__xludf.DUMMYFUNCTION("""COMPUTED_VALUE"""),850000)</f>
        <v>850000</v>
      </c>
    </row>
    <row r="340" spans="2:9" x14ac:dyDescent="0.3">
      <c r="B340" s="12" t="str">
        <f ca="1">IFERROR(__xludf.DUMMYFUNCTION("""COMPUTED_VALUE"""),"круг")</f>
        <v>круг</v>
      </c>
      <c r="C340" s="7" t="str">
        <f ca="1">IFERROR(__xludf.DUMMYFUNCTION("""COMPUTED_VALUE"""),"09Х16Н4Б (ЭП56)")</f>
        <v>09Х16Н4Б (ЭП56)</v>
      </c>
      <c r="D340" s="13">
        <f ca="1">IFERROR(__xludf.DUMMYFUNCTION("""COMPUTED_VALUE"""),20)</f>
        <v>20</v>
      </c>
      <c r="E340" s="13"/>
      <c r="F340" s="14" t="str">
        <f ca="1">IFERROR(__xludf.DUMMYFUNCTION("""COMPUTED_VALUE"""),"ту14-1-3564, РТТ, УЗК,2ГП, ")</f>
        <v xml:space="preserve">ту14-1-3564, РТТ, УЗК,2ГП, </v>
      </c>
      <c r="G340" s="15">
        <f ca="1">IFERROR(__xludf.DUMMYFUNCTION("""COMPUTED_VALUE"""),1.192)</f>
        <v>1.1919999999999999</v>
      </c>
      <c r="H340" s="15"/>
      <c r="I340" s="16">
        <f ca="1">IFERROR(__xludf.DUMMYFUNCTION("""COMPUTED_VALUE"""),850000)</f>
        <v>850000</v>
      </c>
    </row>
    <row r="341" spans="2:9" x14ac:dyDescent="0.3">
      <c r="B341" s="12" t="str">
        <f ca="1">IFERROR(__xludf.DUMMYFUNCTION("""COMPUTED_VALUE"""),"круг")</f>
        <v>круг</v>
      </c>
      <c r="C341" s="7" t="str">
        <f ca="1">IFERROR(__xludf.DUMMYFUNCTION("""COMPUTED_VALUE"""),"09Х16Н4Б (ЭП56)")</f>
        <v>09Х16Н4Б (ЭП56)</v>
      </c>
      <c r="D341" s="13">
        <f ca="1">IFERROR(__xludf.DUMMYFUNCTION("""COMPUTED_VALUE"""),24)</f>
        <v>24</v>
      </c>
      <c r="E341" s="13"/>
      <c r="F341" s="14" t="str">
        <f ca="1">IFERROR(__xludf.DUMMYFUNCTION("""COMPUTED_VALUE"""),"2590/14-1-3564 РТТ, 3ГП")</f>
        <v>2590/14-1-3564 РТТ, 3ГП</v>
      </c>
      <c r="G341" s="15">
        <f ca="1">IFERROR(__xludf.DUMMYFUNCTION("""COMPUTED_VALUE"""),0.32)</f>
        <v>0.32</v>
      </c>
      <c r="H341" s="15"/>
      <c r="I341" s="16">
        <f ca="1">IFERROR(__xludf.DUMMYFUNCTION("""COMPUTED_VALUE"""),750000)</f>
        <v>750000</v>
      </c>
    </row>
    <row r="342" spans="2:9" x14ac:dyDescent="0.3">
      <c r="B342" s="12" t="str">
        <f ca="1">IFERROR(__xludf.DUMMYFUNCTION("""COMPUTED_VALUE"""),"круг")</f>
        <v>круг</v>
      </c>
      <c r="C342" s="7" t="str">
        <f ca="1">IFERROR(__xludf.DUMMYFUNCTION("""COMPUTED_VALUE"""),"09Х16Н4Б (ЭП56)")</f>
        <v>09Х16Н4Б (ЭП56)</v>
      </c>
      <c r="D342" s="13">
        <f ca="1">IFERROR(__xludf.DUMMYFUNCTION("""COMPUTED_VALUE"""),25)</f>
        <v>25</v>
      </c>
      <c r="E342" s="13"/>
      <c r="F342" s="14" t="str">
        <f ca="1">IFERROR(__xludf.DUMMYFUNCTION("""COMPUTED_VALUE"""),"ТУ 14-1-3564, ГОСТ 2590 отжиг, 3гп, КД-5203")</f>
        <v>ТУ 14-1-3564, ГОСТ 2590 отжиг, 3гп, КД-5203</v>
      </c>
      <c r="G342" s="15">
        <f ca="1">IFERROR(__xludf.DUMMYFUNCTION("""COMPUTED_VALUE"""),0.756)</f>
        <v>0.75600000000000001</v>
      </c>
      <c r="H342" s="15"/>
      <c r="I342" s="16">
        <f ca="1">IFERROR(__xludf.DUMMYFUNCTION("""COMPUTED_VALUE"""),850000)</f>
        <v>850000</v>
      </c>
    </row>
    <row r="343" spans="2:9" x14ac:dyDescent="0.3">
      <c r="B343" s="12" t="str">
        <f ca="1">IFERROR(__xludf.DUMMYFUNCTION("""COMPUTED_VALUE"""),"круг")</f>
        <v>круг</v>
      </c>
      <c r="C343" s="7" t="str">
        <f ca="1">IFERROR(__xludf.DUMMYFUNCTION("""COMPUTED_VALUE"""),"09Х16Н4Б (ЭП56)")</f>
        <v>09Х16Н4Б (ЭП56)</v>
      </c>
      <c r="D343" s="13">
        <f ca="1">IFERROR(__xludf.DUMMYFUNCTION("""COMPUTED_VALUE"""),25)</f>
        <v>25</v>
      </c>
      <c r="E343" s="13"/>
      <c r="F343" s="14" t="str">
        <f ca="1">IFERROR(__xludf.DUMMYFUNCTION("""COMPUTED_VALUE"""),"ТУ 14-1-3564, ГОСТ 2590 отжиг, 3гп, КД-5203")</f>
        <v>ТУ 14-1-3564, ГОСТ 2590 отжиг, 3гп, КД-5203</v>
      </c>
      <c r="G343" s="15">
        <f ca="1">IFERROR(__xludf.DUMMYFUNCTION("""COMPUTED_VALUE"""),0.544)</f>
        <v>0.54400000000000004</v>
      </c>
      <c r="H343" s="15"/>
      <c r="I343" s="16">
        <f ca="1">IFERROR(__xludf.DUMMYFUNCTION("""COMPUTED_VALUE"""),850000)</f>
        <v>850000</v>
      </c>
    </row>
    <row r="344" spans="2:9" x14ac:dyDescent="0.3">
      <c r="B344" s="12" t="str">
        <f ca="1">IFERROR(__xludf.DUMMYFUNCTION("""COMPUTED_VALUE"""),"круг")</f>
        <v>круг</v>
      </c>
      <c r="C344" s="7" t="str">
        <f ca="1">IFERROR(__xludf.DUMMYFUNCTION("""COMPUTED_VALUE"""),"09Х16Н4Б (ЭП56)")</f>
        <v>09Х16Н4Б (ЭП56)</v>
      </c>
      <c r="D344" s="13">
        <f ca="1">IFERROR(__xludf.DUMMYFUNCTION("""COMPUTED_VALUE"""),25)</f>
        <v>25</v>
      </c>
      <c r="E344" s="13"/>
      <c r="F344" s="14" t="str">
        <f ca="1">IFERROR(__xludf.DUMMYFUNCTION("""COMPUTED_VALUE"""),"ТУ 14-1-3564, ГОСТ 2590 АТП, ТО, узк, 3гп")</f>
        <v>ТУ 14-1-3564, ГОСТ 2590 АТП, ТО, узк, 3гп</v>
      </c>
      <c r="G344" s="15">
        <f ca="1">IFERROR(__xludf.DUMMYFUNCTION("""COMPUTED_VALUE"""),1.9)</f>
        <v>1.9</v>
      </c>
      <c r="H344" s="15"/>
      <c r="I344" s="16">
        <f ca="1">IFERROR(__xludf.DUMMYFUNCTION("""COMPUTED_VALUE"""),850000)</f>
        <v>850000</v>
      </c>
    </row>
    <row r="345" spans="2:9" x14ac:dyDescent="0.3">
      <c r="B345" s="12" t="str">
        <f ca="1">IFERROR(__xludf.DUMMYFUNCTION("""COMPUTED_VALUE"""),"круг")</f>
        <v>круг</v>
      </c>
      <c r="C345" s="7" t="str">
        <f ca="1">IFERROR(__xludf.DUMMYFUNCTION("""COMPUTED_VALUE"""),"09Х16Н4Б (ЭП56)")</f>
        <v>09Х16Н4Б (ЭП56)</v>
      </c>
      <c r="D345" s="13">
        <f ca="1">IFERROR(__xludf.DUMMYFUNCTION("""COMPUTED_VALUE"""),25)</f>
        <v>25</v>
      </c>
      <c r="E345" s="13"/>
      <c r="F345" s="14" t="str">
        <f ca="1">IFERROR(__xludf.DUMMYFUNCTION("""COMPUTED_VALUE"""),"ТУ 14-1-3564, ГОСТ 2590 АТП, ТО, узк, 3гп")</f>
        <v>ТУ 14-1-3564, ГОСТ 2590 АТП, ТО, узк, 3гп</v>
      </c>
      <c r="G345" s="15">
        <f ca="1">IFERROR(__xludf.DUMMYFUNCTION("""COMPUTED_VALUE"""),0.472)</f>
        <v>0.47199999999999998</v>
      </c>
      <c r="H345" s="15"/>
      <c r="I345" s="16">
        <f ca="1">IFERROR(__xludf.DUMMYFUNCTION("""COMPUTED_VALUE"""),850000)</f>
        <v>850000</v>
      </c>
    </row>
    <row r="346" spans="2:9" x14ac:dyDescent="0.3">
      <c r="B346" s="12" t="str">
        <f ca="1">IFERROR(__xludf.DUMMYFUNCTION("""COMPUTED_VALUE"""),"круг")</f>
        <v>круг</v>
      </c>
      <c r="C346" s="7" t="str">
        <f ca="1">IFERROR(__xludf.DUMMYFUNCTION("""COMPUTED_VALUE"""),"09Х16Н4Б (ЭП56)")</f>
        <v>09Х16Н4Б (ЭП56)</v>
      </c>
      <c r="D346" s="13">
        <f ca="1">IFERROR(__xludf.DUMMYFUNCTION("""COMPUTED_VALUE"""),25)</f>
        <v>25</v>
      </c>
      <c r="E346" s="13"/>
      <c r="F346" s="14" t="str">
        <f ca="1">IFERROR(__xludf.DUMMYFUNCTION("""COMPUTED_VALUE"""),"2590/5949, РТТ 3ГП")</f>
        <v>2590/5949, РТТ 3ГП</v>
      </c>
      <c r="G346" s="15">
        <f ca="1">IFERROR(__xludf.DUMMYFUNCTION("""COMPUTED_VALUE"""),0.16)</f>
        <v>0.16</v>
      </c>
      <c r="H346" s="15"/>
      <c r="I346" s="16">
        <f ca="1">IFERROR(__xludf.DUMMYFUNCTION("""COMPUTED_VALUE"""),750000)</f>
        <v>750000</v>
      </c>
    </row>
    <row r="347" spans="2:9" x14ac:dyDescent="0.3">
      <c r="B347" s="12" t="str">
        <f ca="1">IFERROR(__xludf.DUMMYFUNCTION("""COMPUTED_VALUE"""),"круг")</f>
        <v>круг</v>
      </c>
      <c r="C347" s="7" t="str">
        <f ca="1">IFERROR(__xludf.DUMMYFUNCTION("""COMPUTED_VALUE"""),"09Х16Н4Б (ЭП56)")</f>
        <v>09Х16Н4Б (ЭП56)</v>
      </c>
      <c r="D347" s="13">
        <f ca="1">IFERROR(__xludf.DUMMYFUNCTION("""COMPUTED_VALUE"""),25)</f>
        <v>25</v>
      </c>
      <c r="E347" s="13"/>
      <c r="F347" s="14" t="str">
        <f ca="1">IFERROR(__xludf.DUMMYFUNCTION("""COMPUTED_VALUE"""),"2590/5949, РТТ 3ГП")</f>
        <v>2590/5949, РТТ 3ГП</v>
      </c>
      <c r="G347" s="15">
        <f ca="1">IFERROR(__xludf.DUMMYFUNCTION("""COMPUTED_VALUE"""),0.24)</f>
        <v>0.24</v>
      </c>
      <c r="H347" s="15"/>
      <c r="I347" s="16">
        <f ca="1">IFERROR(__xludf.DUMMYFUNCTION("""COMPUTED_VALUE"""),750000)</f>
        <v>750000</v>
      </c>
    </row>
    <row r="348" spans="2:9" x14ac:dyDescent="0.3">
      <c r="B348" s="12" t="str">
        <f ca="1">IFERROR(__xludf.DUMMYFUNCTION("""COMPUTED_VALUE"""),"круг")</f>
        <v>круг</v>
      </c>
      <c r="C348" s="7" t="str">
        <f ca="1">IFERROR(__xludf.DUMMYFUNCTION("""COMPUTED_VALUE"""),"09Х16Н4Б (ЭП56)")</f>
        <v>09Х16Н4Б (ЭП56)</v>
      </c>
      <c r="D348" s="13">
        <f ca="1">IFERROR(__xludf.DUMMYFUNCTION("""COMPUTED_VALUE"""),26)</f>
        <v>26</v>
      </c>
      <c r="E348" s="13"/>
      <c r="F348" s="14" t="str">
        <f ca="1">IFERROR(__xludf.DUMMYFUNCTION("""COMPUTED_VALUE"""),"2590/14-1-3564 РТТ, 3ГП")</f>
        <v>2590/14-1-3564 РТТ, 3ГП</v>
      </c>
      <c r="G348" s="15">
        <f ca="1">IFERROR(__xludf.DUMMYFUNCTION("""COMPUTED_VALUE"""),0.399999999999999)</f>
        <v>0.39999999999999902</v>
      </c>
      <c r="H348" s="15"/>
      <c r="I348" s="16">
        <f ca="1">IFERROR(__xludf.DUMMYFUNCTION("""COMPUTED_VALUE"""),750000)</f>
        <v>750000</v>
      </c>
    </row>
    <row r="349" spans="2:9" x14ac:dyDescent="0.3">
      <c r="B349" s="12" t="str">
        <f ca="1">IFERROR(__xludf.DUMMYFUNCTION("""COMPUTED_VALUE"""),"круг")</f>
        <v>круг</v>
      </c>
      <c r="C349" s="7" t="str">
        <f ca="1">IFERROR(__xludf.DUMMYFUNCTION("""COMPUTED_VALUE"""),"09Х16Н4Б (ЭП56)")</f>
        <v>09Х16Н4Б (ЭП56)</v>
      </c>
      <c r="D349" s="13">
        <f ca="1">IFERROR(__xludf.DUMMYFUNCTION("""COMPUTED_VALUE"""),30)</f>
        <v>30</v>
      </c>
      <c r="E349" s="13"/>
      <c r="F349" s="14" t="str">
        <f ca="1">IFERROR(__xludf.DUMMYFUNCTION("""COMPUTED_VALUE"""),"2590/14-1-3564 РТТ, 3ГП")</f>
        <v>2590/14-1-3564 РТТ, 3ГП</v>
      </c>
      <c r="G349" s="15">
        <f ca="1">IFERROR(__xludf.DUMMYFUNCTION("""COMPUTED_VALUE"""),2)</f>
        <v>2</v>
      </c>
      <c r="H349" s="15"/>
      <c r="I349" s="16">
        <f ca="1">IFERROR(__xludf.DUMMYFUNCTION("""COMPUTED_VALUE"""),680000)</f>
        <v>680000</v>
      </c>
    </row>
    <row r="350" spans="2:9" x14ac:dyDescent="0.3">
      <c r="B350" s="12" t="str">
        <f ca="1">IFERROR(__xludf.DUMMYFUNCTION("""COMPUTED_VALUE"""),"круг")</f>
        <v>круг</v>
      </c>
      <c r="C350" s="7" t="str">
        <f ca="1">IFERROR(__xludf.DUMMYFUNCTION("""COMPUTED_VALUE"""),"09Х16Н4Б (ЭП56)")</f>
        <v>09Х16Н4Б (ЭП56)</v>
      </c>
      <c r="D350" s="13">
        <f ca="1">IFERROR(__xludf.DUMMYFUNCTION("""COMPUTED_VALUE"""),30)</f>
        <v>30</v>
      </c>
      <c r="E350" s="13"/>
      <c r="F350" s="14" t="str">
        <f ca="1">IFERROR(__xludf.DUMMYFUNCTION("""COMPUTED_VALUE"""),"ту14-1-3564, РТТ, УЗК,2ГП, ")</f>
        <v xml:space="preserve">ту14-1-3564, РТТ, УЗК,2ГП, </v>
      </c>
      <c r="G350" s="15">
        <f ca="1">IFERROR(__xludf.DUMMYFUNCTION("""COMPUTED_VALUE"""),0.808999999999999)</f>
        <v>0.80899999999999905</v>
      </c>
      <c r="H350" s="15"/>
      <c r="I350" s="16">
        <f ca="1">IFERROR(__xludf.DUMMYFUNCTION("""COMPUTED_VALUE"""),680000)</f>
        <v>680000</v>
      </c>
    </row>
    <row r="351" spans="2:9" x14ac:dyDescent="0.3">
      <c r="B351" s="12" t="str">
        <f ca="1">IFERROR(__xludf.DUMMYFUNCTION("""COMPUTED_VALUE"""),"круг")</f>
        <v>круг</v>
      </c>
      <c r="C351" s="7" t="str">
        <f ca="1">IFERROR(__xludf.DUMMYFUNCTION("""COMPUTED_VALUE"""),"09Х16Н4Б (ЭП56)")</f>
        <v>09Х16Н4Б (ЭП56)</v>
      </c>
      <c r="D351" s="13">
        <f ca="1">IFERROR(__xludf.DUMMYFUNCTION("""COMPUTED_VALUE"""),32)</f>
        <v>32</v>
      </c>
      <c r="E351" s="13"/>
      <c r="F351" s="14" t="str">
        <f ca="1">IFERROR(__xludf.DUMMYFUNCTION("""COMPUTED_VALUE"""),"2590/14-1-3564 РТТ, 3ГП")</f>
        <v>2590/14-1-3564 РТТ, 3ГП</v>
      </c>
      <c r="G351" s="15">
        <f ca="1">IFERROR(__xludf.DUMMYFUNCTION("""COMPUTED_VALUE"""),0.3)</f>
        <v>0.3</v>
      </c>
      <c r="H351" s="15"/>
      <c r="I351" s="16">
        <f ca="1">IFERROR(__xludf.DUMMYFUNCTION("""COMPUTED_VALUE"""),680000)</f>
        <v>680000</v>
      </c>
    </row>
    <row r="352" spans="2:9" x14ac:dyDescent="0.3">
      <c r="B352" s="12" t="str">
        <f ca="1">IFERROR(__xludf.DUMMYFUNCTION("""COMPUTED_VALUE"""),"круг")</f>
        <v>круг</v>
      </c>
      <c r="C352" s="7" t="str">
        <f ca="1">IFERROR(__xludf.DUMMYFUNCTION("""COMPUTED_VALUE"""),"09Х16Н4Б (ЭП56)")</f>
        <v>09Х16Н4Б (ЭП56)</v>
      </c>
      <c r="D352" s="13">
        <f ca="1">IFERROR(__xludf.DUMMYFUNCTION("""COMPUTED_VALUE"""),32)</f>
        <v>32</v>
      </c>
      <c r="E352" s="13"/>
      <c r="F352" s="14" t="str">
        <f ca="1">IFERROR(__xludf.DUMMYFUNCTION("""COMPUTED_VALUE"""),"ту14-1-3564, РТТ, УЗК,2ГП, ")</f>
        <v xml:space="preserve">ту14-1-3564, РТТ, УЗК,2ГП, </v>
      </c>
      <c r="G352" s="15">
        <f ca="1">IFERROR(__xludf.DUMMYFUNCTION("""COMPUTED_VALUE"""),1.618)</f>
        <v>1.6180000000000001</v>
      </c>
      <c r="H352" s="15"/>
      <c r="I352" s="16">
        <f ca="1">IFERROR(__xludf.DUMMYFUNCTION("""COMPUTED_VALUE"""),680000)</f>
        <v>680000</v>
      </c>
    </row>
    <row r="353" spans="2:9" x14ac:dyDescent="0.3">
      <c r="B353" s="12" t="str">
        <f ca="1">IFERROR(__xludf.DUMMYFUNCTION("""COMPUTED_VALUE"""),"круг")</f>
        <v>круг</v>
      </c>
      <c r="C353" s="7" t="str">
        <f ca="1">IFERROR(__xludf.DUMMYFUNCTION("""COMPUTED_VALUE"""),"09Х16Н4Б (ЭП56)")</f>
        <v>09Х16Н4Б (ЭП56)</v>
      </c>
      <c r="D353" s="13">
        <f ca="1">IFERROR(__xludf.DUMMYFUNCTION("""COMPUTED_VALUE"""),35)</f>
        <v>35</v>
      </c>
      <c r="E353" s="13"/>
      <c r="F353" s="14" t="str">
        <f ca="1">IFERROR(__xludf.DUMMYFUNCTION("""COMPUTED_VALUE"""),"ту14-1-3564, РТТ, УЗК,2ГП, ")</f>
        <v xml:space="preserve">ту14-1-3564, РТТ, УЗК,2ГП, </v>
      </c>
      <c r="G353" s="15">
        <f ca="1">IFERROR(__xludf.DUMMYFUNCTION("""COMPUTED_VALUE"""),2.4)</f>
        <v>2.4</v>
      </c>
      <c r="H353" s="15"/>
      <c r="I353" s="16">
        <f ca="1">IFERROR(__xludf.DUMMYFUNCTION("""COMPUTED_VALUE"""),680000)</f>
        <v>680000</v>
      </c>
    </row>
    <row r="354" spans="2:9" x14ac:dyDescent="0.3">
      <c r="B354" s="12" t="str">
        <f ca="1">IFERROR(__xludf.DUMMYFUNCTION("""COMPUTED_VALUE"""),"круг")</f>
        <v>круг</v>
      </c>
      <c r="C354" s="7" t="str">
        <f ca="1">IFERROR(__xludf.DUMMYFUNCTION("""COMPUTED_VALUE"""),"09Х16Н4Б (ЭП56)")</f>
        <v>09Х16Н4Б (ЭП56)</v>
      </c>
      <c r="D354" s="13">
        <f ca="1">IFERROR(__xludf.DUMMYFUNCTION("""COMPUTED_VALUE"""),38)</f>
        <v>38</v>
      </c>
      <c r="E354" s="13"/>
      <c r="F354" s="14" t="str">
        <f ca="1">IFERROR(__xludf.DUMMYFUNCTION("""COMPUTED_VALUE"""),"2590/14-1-3564 РТТ, 3ГП")</f>
        <v>2590/14-1-3564 РТТ, 3ГП</v>
      </c>
      <c r="G354" s="15">
        <f ca="1">IFERROR(__xludf.DUMMYFUNCTION("""COMPUTED_VALUE"""),1)</f>
        <v>1</v>
      </c>
      <c r="H354" s="15"/>
      <c r="I354" s="16">
        <f ca="1">IFERROR(__xludf.DUMMYFUNCTION("""COMPUTED_VALUE"""),680000)</f>
        <v>680000</v>
      </c>
    </row>
    <row r="355" spans="2:9" x14ac:dyDescent="0.3">
      <c r="B355" s="12" t="str">
        <f ca="1">IFERROR(__xludf.DUMMYFUNCTION("""COMPUTED_VALUE"""),"круг")</f>
        <v>круг</v>
      </c>
      <c r="C355" s="7" t="str">
        <f ca="1">IFERROR(__xludf.DUMMYFUNCTION("""COMPUTED_VALUE"""),"09Х16Н4Б (ЭП56)")</f>
        <v>09Х16Н4Б (ЭП56)</v>
      </c>
      <c r="D355" s="13">
        <f ca="1">IFERROR(__xludf.DUMMYFUNCTION("""COMPUTED_VALUE"""),40)</f>
        <v>40</v>
      </c>
      <c r="E355" s="13"/>
      <c r="F355" s="14" t="str">
        <f ca="1">IFERROR(__xludf.DUMMYFUNCTION("""COMPUTED_VALUE"""),"ту14-1-3564, РТТ, УЗК,2ГП, ")</f>
        <v xml:space="preserve">ту14-1-3564, РТТ, УЗК,2ГП, </v>
      </c>
      <c r="G355" s="15">
        <f ca="1">IFERROR(__xludf.DUMMYFUNCTION("""COMPUTED_VALUE"""),1.89299999999999)</f>
        <v>1.89299999999999</v>
      </c>
      <c r="H355" s="15"/>
      <c r="I355" s="16">
        <f ca="1">IFERROR(__xludf.DUMMYFUNCTION("""COMPUTED_VALUE"""),680000)</f>
        <v>680000</v>
      </c>
    </row>
    <row r="356" spans="2:9" x14ac:dyDescent="0.3">
      <c r="B356" s="12" t="str">
        <f ca="1">IFERROR(__xludf.DUMMYFUNCTION("""COMPUTED_VALUE"""),"круг")</f>
        <v>круг</v>
      </c>
      <c r="C356" s="7" t="str">
        <f ca="1">IFERROR(__xludf.DUMMYFUNCTION("""COMPUTED_VALUE"""),"09Х16Н4Б (ЭП56)")</f>
        <v>09Х16Н4Б (ЭП56)</v>
      </c>
      <c r="D356" s="13">
        <f ca="1">IFERROR(__xludf.DUMMYFUNCTION("""COMPUTED_VALUE"""),40)</f>
        <v>40</v>
      </c>
      <c r="E356" s="13"/>
      <c r="F356" s="14" t="str">
        <f ca="1">IFERROR(__xludf.DUMMYFUNCTION("""COMPUTED_VALUE"""),"ту14-1-3564, РТТ, УЗК,2ГП, ")</f>
        <v xml:space="preserve">ту14-1-3564, РТТ, УЗК,2ГП, </v>
      </c>
      <c r="G356" s="15">
        <f ca="1">IFERROR(__xludf.DUMMYFUNCTION("""COMPUTED_VALUE"""),0.229)</f>
        <v>0.22900000000000001</v>
      </c>
      <c r="H356" s="15"/>
      <c r="I356" s="16">
        <f ca="1">IFERROR(__xludf.DUMMYFUNCTION("""COMPUTED_VALUE"""),680000)</f>
        <v>680000</v>
      </c>
    </row>
    <row r="357" spans="2:9" x14ac:dyDescent="0.3">
      <c r="B357" s="12" t="str">
        <f ca="1">IFERROR(__xludf.DUMMYFUNCTION("""COMPUTED_VALUE"""),"круг")</f>
        <v>круг</v>
      </c>
      <c r="C357" s="7" t="str">
        <f ca="1">IFERROR(__xludf.DUMMYFUNCTION("""COMPUTED_VALUE"""),"09Х16Н4Б (ЭП56)")</f>
        <v>09Х16Н4Б (ЭП56)</v>
      </c>
      <c r="D357" s="13">
        <f ca="1">IFERROR(__xludf.DUMMYFUNCTION("""COMPUTED_VALUE"""),40)</f>
        <v>40</v>
      </c>
      <c r="E357" s="13"/>
      <c r="F357" s="14" t="str">
        <f ca="1">IFERROR(__xludf.DUMMYFUNCTION("""COMPUTED_VALUE"""),"ту14-1-3564, РТТ, УЗК,2ГП, ")</f>
        <v xml:space="preserve">ту14-1-3564, РТТ, УЗК,2ГП, </v>
      </c>
      <c r="G357" s="15">
        <f ca="1">IFERROR(__xludf.DUMMYFUNCTION("""COMPUTED_VALUE"""),0.33)</f>
        <v>0.33</v>
      </c>
      <c r="H357" s="15"/>
      <c r="I357" s="16">
        <f ca="1">IFERROR(__xludf.DUMMYFUNCTION("""COMPUTED_VALUE"""),680000)</f>
        <v>680000</v>
      </c>
    </row>
    <row r="358" spans="2:9" x14ac:dyDescent="0.3">
      <c r="B358" s="12" t="str">
        <f ca="1">IFERROR(__xludf.DUMMYFUNCTION("""COMPUTED_VALUE"""),"круг")</f>
        <v>круг</v>
      </c>
      <c r="C358" s="7" t="str">
        <f ca="1">IFERROR(__xludf.DUMMYFUNCTION("""COMPUTED_VALUE"""),"09Х16Н4Б (ЭП56)")</f>
        <v>09Х16Н4Б (ЭП56)</v>
      </c>
      <c r="D358" s="13">
        <f ca="1">IFERROR(__xludf.DUMMYFUNCTION("""COMPUTED_VALUE"""),40)</f>
        <v>40</v>
      </c>
      <c r="E358" s="13"/>
      <c r="F358" s="14" t="str">
        <f ca="1">IFERROR(__xludf.DUMMYFUNCTION("""COMPUTED_VALUE"""),"ту14-1-3564, РТТ, УЗК,2ГП, ")</f>
        <v xml:space="preserve">ту14-1-3564, РТТ, УЗК,2ГП, </v>
      </c>
      <c r="G358" s="15">
        <f ca="1">IFERROR(__xludf.DUMMYFUNCTION("""COMPUTED_VALUE"""),0.38)</f>
        <v>0.38</v>
      </c>
      <c r="H358" s="15"/>
      <c r="I358" s="16">
        <f ca="1">IFERROR(__xludf.DUMMYFUNCTION("""COMPUTED_VALUE"""),680000)</f>
        <v>680000</v>
      </c>
    </row>
    <row r="359" spans="2:9" x14ac:dyDescent="0.3">
      <c r="B359" s="12" t="str">
        <f ca="1">IFERROR(__xludf.DUMMYFUNCTION("""COMPUTED_VALUE"""),"круг")</f>
        <v>круг</v>
      </c>
      <c r="C359" s="7" t="str">
        <f ca="1">IFERROR(__xludf.DUMMYFUNCTION("""COMPUTED_VALUE"""),"09Х16Н4Б (ЭП56)")</f>
        <v>09Х16Н4Б (ЭП56)</v>
      </c>
      <c r="D359" s="13">
        <f ca="1">IFERROR(__xludf.DUMMYFUNCTION("""COMPUTED_VALUE"""),40)</f>
        <v>40</v>
      </c>
      <c r="E359" s="13"/>
      <c r="F359" s="14" t="str">
        <f ca="1">IFERROR(__xludf.DUMMYFUNCTION("""COMPUTED_VALUE"""),"ту14-1-3564, РТТ, УЗК,2ГП, ")</f>
        <v xml:space="preserve">ту14-1-3564, РТТ, УЗК,2ГП, </v>
      </c>
      <c r="G359" s="15">
        <f ca="1">IFERROR(__xludf.DUMMYFUNCTION("""COMPUTED_VALUE"""),2.76)</f>
        <v>2.76</v>
      </c>
      <c r="H359" s="15"/>
      <c r="I359" s="16">
        <f ca="1">IFERROR(__xludf.DUMMYFUNCTION("""COMPUTED_VALUE"""),680000)</f>
        <v>680000</v>
      </c>
    </row>
    <row r="360" spans="2:9" x14ac:dyDescent="0.3">
      <c r="B360" s="12" t="str">
        <f ca="1">IFERROR(__xludf.DUMMYFUNCTION("""COMPUTED_VALUE"""),"круг")</f>
        <v>круг</v>
      </c>
      <c r="C360" s="7" t="str">
        <f ca="1">IFERROR(__xludf.DUMMYFUNCTION("""COMPUTED_VALUE"""),"09Х16Н4Б (ЭП56)")</f>
        <v>09Х16Н4Б (ЭП56)</v>
      </c>
      <c r="D360" s="13">
        <f ca="1">IFERROR(__xludf.DUMMYFUNCTION("""COMPUTED_VALUE"""),40)</f>
        <v>40</v>
      </c>
      <c r="E360" s="13"/>
      <c r="F360" s="14" t="str">
        <f ca="1">IFERROR(__xludf.DUMMYFUNCTION("""COMPUTED_VALUE"""),"ту14-1-3564, РТТ, УЗК,2ГП, ")</f>
        <v xml:space="preserve">ту14-1-3564, РТТ, УЗК,2ГП, </v>
      </c>
      <c r="G360" s="15">
        <f ca="1">IFERROR(__xludf.DUMMYFUNCTION("""COMPUTED_VALUE"""),3.16)</f>
        <v>3.16</v>
      </c>
      <c r="H360" s="15"/>
      <c r="I360" s="16">
        <f ca="1">IFERROR(__xludf.DUMMYFUNCTION("""COMPUTED_VALUE"""),680000)</f>
        <v>680000</v>
      </c>
    </row>
    <row r="361" spans="2:9" x14ac:dyDescent="0.3">
      <c r="B361" s="12" t="str">
        <f ca="1">IFERROR(__xludf.DUMMYFUNCTION("""COMPUTED_VALUE"""),"круг")</f>
        <v>круг</v>
      </c>
      <c r="C361" s="7" t="str">
        <f ca="1">IFERROR(__xludf.DUMMYFUNCTION("""COMPUTED_VALUE"""),"09Х16Н4Б (ЭП56)")</f>
        <v>09Х16Н4Б (ЭП56)</v>
      </c>
      <c r="D361" s="13">
        <f ca="1">IFERROR(__xludf.DUMMYFUNCTION("""COMPUTED_VALUE"""),40)</f>
        <v>40</v>
      </c>
      <c r="E361" s="13"/>
      <c r="F361" s="14" t="str">
        <f ca="1">IFERROR(__xludf.DUMMYFUNCTION("""COMPUTED_VALUE"""),"ту14-1-3564, РТТ, УЗК,2ГП, ")</f>
        <v xml:space="preserve">ту14-1-3564, РТТ, УЗК,2ГП, </v>
      </c>
      <c r="G361" s="15">
        <f ca="1">IFERROR(__xludf.DUMMYFUNCTION("""COMPUTED_VALUE"""),3.17)</f>
        <v>3.17</v>
      </c>
      <c r="H361" s="15"/>
      <c r="I361" s="16">
        <f ca="1">IFERROR(__xludf.DUMMYFUNCTION("""COMPUTED_VALUE"""),680000)</f>
        <v>680000</v>
      </c>
    </row>
    <row r="362" spans="2:9" x14ac:dyDescent="0.3">
      <c r="B362" s="12" t="str">
        <f ca="1">IFERROR(__xludf.DUMMYFUNCTION("""COMPUTED_VALUE"""),"круг")</f>
        <v>круг</v>
      </c>
      <c r="C362" s="7" t="str">
        <f ca="1">IFERROR(__xludf.DUMMYFUNCTION("""COMPUTED_VALUE"""),"09Х16Н4Б (ЭП56)")</f>
        <v>09Х16Н4Б (ЭП56)</v>
      </c>
      <c r="D362" s="13">
        <f ca="1">IFERROR(__xludf.DUMMYFUNCTION("""COMPUTED_VALUE"""),40)</f>
        <v>40</v>
      </c>
      <c r="E362" s="13"/>
      <c r="F362" s="14" t="str">
        <f ca="1">IFERROR(__xludf.DUMMYFUNCTION("""COMPUTED_VALUE"""),"2590/14-1-3564 РТТ, 3ГП")</f>
        <v>2590/14-1-3564 РТТ, 3ГП</v>
      </c>
      <c r="G362" s="15">
        <f ca="1">IFERROR(__xludf.DUMMYFUNCTION("""COMPUTED_VALUE"""),0.399999999999999)</f>
        <v>0.39999999999999902</v>
      </c>
      <c r="H362" s="15"/>
      <c r="I362" s="16">
        <f ca="1">IFERROR(__xludf.DUMMYFUNCTION("""COMPUTED_VALUE"""),680000)</f>
        <v>680000</v>
      </c>
    </row>
    <row r="363" spans="2:9" x14ac:dyDescent="0.3">
      <c r="B363" s="12" t="str">
        <f ca="1">IFERROR(__xludf.DUMMYFUNCTION("""COMPUTED_VALUE"""),"круг")</f>
        <v>круг</v>
      </c>
      <c r="C363" s="7" t="str">
        <f ca="1">IFERROR(__xludf.DUMMYFUNCTION("""COMPUTED_VALUE"""),"09Х16Н4Б (ЭП56)")</f>
        <v>09Х16Н4Б (ЭП56)</v>
      </c>
      <c r="D363" s="13">
        <f ca="1">IFERROR(__xludf.DUMMYFUNCTION("""COMPUTED_VALUE"""),42)</f>
        <v>42</v>
      </c>
      <c r="E363" s="13"/>
      <c r="F363" s="14" t="str">
        <f ca="1">IFERROR(__xludf.DUMMYFUNCTION("""COMPUTED_VALUE"""),"2590/14-1-3564 РТТ, 3ГП")</f>
        <v>2590/14-1-3564 РТТ, 3ГП</v>
      </c>
      <c r="G363" s="15">
        <f ca="1">IFERROR(__xludf.DUMMYFUNCTION("""COMPUTED_VALUE"""),0.1)</f>
        <v>0.1</v>
      </c>
      <c r="H363" s="15"/>
      <c r="I363" s="16">
        <f ca="1">IFERROR(__xludf.DUMMYFUNCTION("""COMPUTED_VALUE"""),680000)</f>
        <v>680000</v>
      </c>
    </row>
    <row r="364" spans="2:9" x14ac:dyDescent="0.3">
      <c r="B364" s="12" t="str">
        <f ca="1">IFERROR(__xludf.DUMMYFUNCTION("""COMPUTED_VALUE"""),"круг")</f>
        <v>круг</v>
      </c>
      <c r="C364" s="7" t="str">
        <f ca="1">IFERROR(__xludf.DUMMYFUNCTION("""COMPUTED_VALUE"""),"09Х16Н4Б (ЭП56)")</f>
        <v>09Х16Н4Б (ЭП56)</v>
      </c>
      <c r="D364" s="13">
        <f ca="1">IFERROR(__xludf.DUMMYFUNCTION("""COMPUTED_VALUE"""),45)</f>
        <v>45</v>
      </c>
      <c r="E364" s="13"/>
      <c r="F364" s="14" t="str">
        <f ca="1">IFERROR(__xludf.DUMMYFUNCTION("""COMPUTED_VALUE"""),"ту14-1-3564, РТТ, УЗК,2ГП, ")</f>
        <v xml:space="preserve">ту14-1-3564, РТТ, УЗК,2ГП, </v>
      </c>
      <c r="G364" s="15">
        <f ca="1">IFERROR(__xludf.DUMMYFUNCTION("""COMPUTED_VALUE"""),0.97)</f>
        <v>0.97</v>
      </c>
      <c r="H364" s="15"/>
      <c r="I364" s="16">
        <f ca="1">IFERROR(__xludf.DUMMYFUNCTION("""COMPUTED_VALUE"""),680000)</f>
        <v>680000</v>
      </c>
    </row>
    <row r="365" spans="2:9" x14ac:dyDescent="0.3">
      <c r="B365" s="12" t="str">
        <f ca="1">IFERROR(__xludf.DUMMYFUNCTION("""COMPUTED_VALUE"""),"круг")</f>
        <v>круг</v>
      </c>
      <c r="C365" s="7" t="str">
        <f ca="1">IFERROR(__xludf.DUMMYFUNCTION("""COMPUTED_VALUE"""),"09Х16Н4Б (ЭП56)")</f>
        <v>09Х16Н4Б (ЭП56)</v>
      </c>
      <c r="D365" s="13">
        <f ca="1">IFERROR(__xludf.DUMMYFUNCTION("""COMPUTED_VALUE"""),45)</f>
        <v>45</v>
      </c>
      <c r="E365" s="13"/>
      <c r="F365" s="14" t="str">
        <f ca="1">IFERROR(__xludf.DUMMYFUNCTION("""COMPUTED_VALUE"""),"ту14-1-3564, РТТ, УЗК,2ГП, ")</f>
        <v xml:space="preserve">ту14-1-3564, РТТ, УЗК,2ГП, </v>
      </c>
      <c r="G365" s="15">
        <f ca="1">IFERROR(__xludf.DUMMYFUNCTION("""COMPUTED_VALUE"""),1.345)</f>
        <v>1.345</v>
      </c>
      <c r="H365" s="15"/>
      <c r="I365" s="16">
        <f ca="1">IFERROR(__xludf.DUMMYFUNCTION("""COMPUTED_VALUE"""),680000)</f>
        <v>680000</v>
      </c>
    </row>
    <row r="366" spans="2:9" x14ac:dyDescent="0.3">
      <c r="B366" s="12" t="str">
        <f ca="1">IFERROR(__xludf.DUMMYFUNCTION("""COMPUTED_VALUE"""),"круг")</f>
        <v>круг</v>
      </c>
      <c r="C366" s="7" t="str">
        <f ca="1">IFERROR(__xludf.DUMMYFUNCTION("""COMPUTED_VALUE"""),"09Х16Н4Б (ЭП56)")</f>
        <v>09Х16Н4Б (ЭП56)</v>
      </c>
      <c r="D366" s="13">
        <f ca="1">IFERROR(__xludf.DUMMYFUNCTION("""COMPUTED_VALUE"""),45)</f>
        <v>45</v>
      </c>
      <c r="E366" s="13"/>
      <c r="F366" s="14" t="str">
        <f ca="1">IFERROR(__xludf.DUMMYFUNCTION("""COMPUTED_VALUE"""),"ту14-1-3564, РТТ, УЗК,2ГП, ")</f>
        <v xml:space="preserve">ту14-1-3564, РТТ, УЗК,2ГП, </v>
      </c>
      <c r="G366" s="15">
        <f ca="1">IFERROR(__xludf.DUMMYFUNCTION("""COMPUTED_VALUE"""),2.7)</f>
        <v>2.7</v>
      </c>
      <c r="H366" s="15"/>
      <c r="I366" s="16">
        <f ca="1">IFERROR(__xludf.DUMMYFUNCTION("""COMPUTED_VALUE"""),680000)</f>
        <v>680000</v>
      </c>
    </row>
    <row r="367" spans="2:9" x14ac:dyDescent="0.3">
      <c r="B367" s="12" t="str">
        <f ca="1">IFERROR(__xludf.DUMMYFUNCTION("""COMPUTED_VALUE"""),"круг")</f>
        <v>круг</v>
      </c>
      <c r="C367" s="7" t="str">
        <f ca="1">IFERROR(__xludf.DUMMYFUNCTION("""COMPUTED_VALUE"""),"09Х16Н4Б (ЭП56)")</f>
        <v>09Х16Н4Б (ЭП56)</v>
      </c>
      <c r="D367" s="13">
        <f ca="1">IFERROR(__xludf.DUMMYFUNCTION("""COMPUTED_VALUE"""),45)</f>
        <v>45</v>
      </c>
      <c r="E367" s="13"/>
      <c r="F367" s="14" t="str">
        <f ca="1">IFERROR(__xludf.DUMMYFUNCTION("""COMPUTED_VALUE"""),"ту14-1-3564, РТТ, УЗК,2ГП, ")</f>
        <v xml:space="preserve">ту14-1-3564, РТТ, УЗК,2ГП, </v>
      </c>
      <c r="G367" s="15">
        <f ca="1">IFERROR(__xludf.DUMMYFUNCTION("""COMPUTED_VALUE"""),2.84)</f>
        <v>2.84</v>
      </c>
      <c r="H367" s="15"/>
      <c r="I367" s="16">
        <f ca="1">IFERROR(__xludf.DUMMYFUNCTION("""COMPUTED_VALUE"""),680000)</f>
        <v>680000</v>
      </c>
    </row>
    <row r="368" spans="2:9" x14ac:dyDescent="0.3">
      <c r="B368" s="12" t="str">
        <f ca="1">IFERROR(__xludf.DUMMYFUNCTION("""COMPUTED_VALUE"""),"круг")</f>
        <v>круг</v>
      </c>
      <c r="C368" s="7" t="str">
        <f ca="1">IFERROR(__xludf.DUMMYFUNCTION("""COMPUTED_VALUE"""),"09Х16Н4Б (ЭП56)")</f>
        <v>09Х16Н4Б (ЭП56)</v>
      </c>
      <c r="D368" s="13">
        <f ca="1">IFERROR(__xludf.DUMMYFUNCTION("""COMPUTED_VALUE"""),45)</f>
        <v>45</v>
      </c>
      <c r="E368" s="13"/>
      <c r="F368" s="14" t="str">
        <f ca="1">IFERROR(__xludf.DUMMYFUNCTION("""COMPUTED_VALUE"""),"ту14-1-3564, РТТ, УЗК,2ГП, ")</f>
        <v xml:space="preserve">ту14-1-3564, РТТ, УЗК,2ГП, </v>
      </c>
      <c r="G368" s="15">
        <f ca="1">IFERROR(__xludf.DUMMYFUNCTION("""COMPUTED_VALUE"""),0.42)</f>
        <v>0.42</v>
      </c>
      <c r="H368" s="15"/>
      <c r="I368" s="16">
        <f ca="1">IFERROR(__xludf.DUMMYFUNCTION("""COMPUTED_VALUE"""),680000)</f>
        <v>680000</v>
      </c>
    </row>
    <row r="369" spans="2:9" x14ac:dyDescent="0.3">
      <c r="B369" s="12" t="str">
        <f ca="1">IFERROR(__xludf.DUMMYFUNCTION("""COMPUTED_VALUE"""),"круг")</f>
        <v>круг</v>
      </c>
      <c r="C369" s="7" t="str">
        <f ca="1">IFERROR(__xludf.DUMMYFUNCTION("""COMPUTED_VALUE"""),"09Х16Н4Б (ЭП56)")</f>
        <v>09Х16Н4Б (ЭП56)</v>
      </c>
      <c r="D369" s="13">
        <f ca="1">IFERROR(__xludf.DUMMYFUNCTION("""COMPUTED_VALUE"""),50)</f>
        <v>50</v>
      </c>
      <c r="E369" s="13"/>
      <c r="F369" s="14" t="str">
        <f ca="1">IFERROR(__xludf.DUMMYFUNCTION("""COMPUTED_VALUE"""),"ту14-1-3564, РТТ, УЗК,2ГП, ")</f>
        <v xml:space="preserve">ту14-1-3564, РТТ, УЗК,2ГП, </v>
      </c>
      <c r="G369" s="15">
        <f ca="1">IFERROR(__xludf.DUMMYFUNCTION("""COMPUTED_VALUE"""),0.0850000000000001)</f>
        <v>8.5000000000000103E-2</v>
      </c>
      <c r="H369" s="15"/>
      <c r="I369" s="16">
        <f ca="1">IFERROR(__xludf.DUMMYFUNCTION("""COMPUTED_VALUE"""),680000)</f>
        <v>680000</v>
      </c>
    </row>
    <row r="370" spans="2:9" x14ac:dyDescent="0.3">
      <c r="B370" s="12" t="str">
        <f ca="1">IFERROR(__xludf.DUMMYFUNCTION("""COMPUTED_VALUE"""),"круг")</f>
        <v>круг</v>
      </c>
      <c r="C370" s="7" t="str">
        <f ca="1">IFERROR(__xludf.DUMMYFUNCTION("""COMPUTED_VALUE"""),"09Х16Н4Б (ЭП56)")</f>
        <v>09Х16Н4Б (ЭП56)</v>
      </c>
      <c r="D370" s="13">
        <f ca="1">IFERROR(__xludf.DUMMYFUNCTION("""COMPUTED_VALUE"""),50)</f>
        <v>50</v>
      </c>
      <c r="E370" s="13"/>
      <c r="F370" s="14" t="str">
        <f ca="1">IFERROR(__xludf.DUMMYFUNCTION("""COMPUTED_VALUE"""),"ту14-1-3564, РТТ, УЗК,2ГП, ")</f>
        <v xml:space="preserve">ту14-1-3564, РТТ, УЗК,2ГП, </v>
      </c>
      <c r="G370" s="15">
        <f ca="1">IFERROR(__xludf.DUMMYFUNCTION("""COMPUTED_VALUE"""),2.121)</f>
        <v>2.121</v>
      </c>
      <c r="H370" s="15"/>
      <c r="I370" s="16">
        <f ca="1">IFERROR(__xludf.DUMMYFUNCTION("""COMPUTED_VALUE"""),680000)</f>
        <v>680000</v>
      </c>
    </row>
    <row r="371" spans="2:9" x14ac:dyDescent="0.3">
      <c r="B371" s="12" t="str">
        <f ca="1">IFERROR(__xludf.DUMMYFUNCTION("""COMPUTED_VALUE"""),"круг")</f>
        <v>круг</v>
      </c>
      <c r="C371" s="7" t="str">
        <f ca="1">IFERROR(__xludf.DUMMYFUNCTION("""COMPUTED_VALUE"""),"09Х16Н4Б (ЭП56)")</f>
        <v>09Х16Н4Б (ЭП56)</v>
      </c>
      <c r="D371" s="13">
        <f ca="1">IFERROR(__xludf.DUMMYFUNCTION("""COMPUTED_VALUE"""),50)</f>
        <v>50</v>
      </c>
      <c r="E371" s="13"/>
      <c r="F371" s="14" t="str">
        <f ca="1">IFERROR(__xludf.DUMMYFUNCTION("""COMPUTED_VALUE"""),"ту14-1-3564, РТТ, УЗК,2ГП, ")</f>
        <v xml:space="preserve">ту14-1-3564, РТТ, УЗК,2ГП, </v>
      </c>
      <c r="G371" s="15">
        <f ca="1">IFERROR(__xludf.DUMMYFUNCTION("""COMPUTED_VALUE"""),2.5)</f>
        <v>2.5</v>
      </c>
      <c r="H371" s="15"/>
      <c r="I371" s="16">
        <f ca="1">IFERROR(__xludf.DUMMYFUNCTION("""COMPUTED_VALUE"""),680000)</f>
        <v>680000</v>
      </c>
    </row>
    <row r="372" spans="2:9" x14ac:dyDescent="0.3">
      <c r="B372" s="12" t="str">
        <f ca="1">IFERROR(__xludf.DUMMYFUNCTION("""COMPUTED_VALUE"""),"круг")</f>
        <v>круг</v>
      </c>
      <c r="C372" s="7" t="str">
        <f ca="1">IFERROR(__xludf.DUMMYFUNCTION("""COMPUTED_VALUE"""),"09Х16Н4Б (ЭП56)")</f>
        <v>09Х16Н4Б (ЭП56)</v>
      </c>
      <c r="D372" s="13">
        <f ca="1">IFERROR(__xludf.DUMMYFUNCTION("""COMPUTED_VALUE"""),50)</f>
        <v>50</v>
      </c>
      <c r="E372" s="13"/>
      <c r="F372" s="14" t="str">
        <f ca="1">IFERROR(__xludf.DUMMYFUNCTION("""COMPUTED_VALUE"""),"ту14-1-3564, РТТ, УЗК,2ГП, ")</f>
        <v xml:space="preserve">ту14-1-3564, РТТ, УЗК,2ГП, </v>
      </c>
      <c r="G372" s="15">
        <f ca="1">IFERROR(__xludf.DUMMYFUNCTION("""COMPUTED_VALUE"""),3.58)</f>
        <v>3.58</v>
      </c>
      <c r="H372" s="15"/>
      <c r="I372" s="16">
        <f ca="1">IFERROR(__xludf.DUMMYFUNCTION("""COMPUTED_VALUE"""),680000)</f>
        <v>680000</v>
      </c>
    </row>
    <row r="373" spans="2:9" x14ac:dyDescent="0.3">
      <c r="B373" s="12" t="str">
        <f ca="1">IFERROR(__xludf.DUMMYFUNCTION("""COMPUTED_VALUE"""),"круг")</f>
        <v>круг</v>
      </c>
      <c r="C373" s="7" t="str">
        <f ca="1">IFERROR(__xludf.DUMMYFUNCTION("""COMPUTED_VALUE"""),"09Х16Н4Б (ЭП56)")</f>
        <v>09Х16Н4Б (ЭП56)</v>
      </c>
      <c r="D373" s="13">
        <f ca="1">IFERROR(__xludf.DUMMYFUNCTION("""COMPUTED_VALUE"""),56)</f>
        <v>56</v>
      </c>
      <c r="E373" s="13"/>
      <c r="F373" s="14" t="str">
        <f ca="1">IFERROR(__xludf.DUMMYFUNCTION("""COMPUTED_VALUE"""),"ТУ 14-1-3564, ГОСТ 2590  ТО, узк, 3гп, БЕЗ РТ")</f>
        <v>ТУ 14-1-3564, ГОСТ 2590  ТО, узк, 3гп, БЕЗ РТ</v>
      </c>
      <c r="G373" s="15">
        <f ca="1">IFERROR(__xludf.DUMMYFUNCTION("""COMPUTED_VALUE"""),1.49199999999999)</f>
        <v>1.49199999999999</v>
      </c>
      <c r="H373" s="15"/>
      <c r="I373" s="16">
        <f ca="1">IFERROR(__xludf.DUMMYFUNCTION("""COMPUTED_VALUE"""),750000)</f>
        <v>750000</v>
      </c>
    </row>
    <row r="374" spans="2:9" x14ac:dyDescent="0.3">
      <c r="B374" s="12" t="str">
        <f ca="1">IFERROR(__xludf.DUMMYFUNCTION("""COMPUTED_VALUE"""),"круг")</f>
        <v>круг</v>
      </c>
      <c r="C374" s="7" t="str">
        <f ca="1">IFERROR(__xludf.DUMMYFUNCTION("""COMPUTED_VALUE"""),"09Х16Н4Б (ЭП56)")</f>
        <v>09Х16Н4Б (ЭП56)</v>
      </c>
      <c r="D374" s="13">
        <f ca="1">IFERROR(__xludf.DUMMYFUNCTION("""COMPUTED_VALUE"""),56)</f>
        <v>56</v>
      </c>
      <c r="E374" s="13"/>
      <c r="F374" s="14" t="str">
        <f ca="1">IFERROR(__xludf.DUMMYFUNCTION("""COMPUTED_VALUE"""),"ту14-1-3564, РТТ, УЗК,2ГП, ")</f>
        <v xml:space="preserve">ту14-1-3564, РТТ, УЗК,2ГП, </v>
      </c>
      <c r="G374" s="15">
        <f ca="1">IFERROR(__xludf.DUMMYFUNCTION("""COMPUTED_VALUE"""),0.6)</f>
        <v>0.6</v>
      </c>
      <c r="H374" s="15"/>
      <c r="I374" s="16">
        <f ca="1">IFERROR(__xludf.DUMMYFUNCTION("""COMPUTED_VALUE"""),680000)</f>
        <v>680000</v>
      </c>
    </row>
    <row r="375" spans="2:9" x14ac:dyDescent="0.3">
      <c r="B375" s="12" t="str">
        <f ca="1">IFERROR(__xludf.DUMMYFUNCTION("""COMPUTED_VALUE"""),"круг")</f>
        <v>круг</v>
      </c>
      <c r="C375" s="7" t="str">
        <f ca="1">IFERROR(__xludf.DUMMYFUNCTION("""COMPUTED_VALUE"""),"09Х16Н4Б (ЭП56)")</f>
        <v>09Х16Н4Б (ЭП56)</v>
      </c>
      <c r="D375" s="13">
        <f ca="1">IFERROR(__xludf.DUMMYFUNCTION("""COMPUTED_VALUE"""),60)</f>
        <v>60</v>
      </c>
      <c r="E375" s="13"/>
      <c r="F375" s="14" t="str">
        <f ca="1">IFERROR(__xludf.DUMMYFUNCTION("""COMPUTED_VALUE"""),"2590/14-1-3564 РТТ, 3ГП")</f>
        <v>2590/14-1-3564 РТТ, 3ГП</v>
      </c>
      <c r="G375" s="15">
        <f ca="1">IFERROR(__xludf.DUMMYFUNCTION("""COMPUTED_VALUE"""),1)</f>
        <v>1</v>
      </c>
      <c r="H375" s="15"/>
      <c r="I375" s="16">
        <f ca="1">IFERROR(__xludf.DUMMYFUNCTION("""COMPUTED_VALUE"""),680000)</f>
        <v>680000</v>
      </c>
    </row>
    <row r="376" spans="2:9" x14ac:dyDescent="0.3">
      <c r="B376" s="12" t="str">
        <f ca="1">IFERROR(__xludf.DUMMYFUNCTION("""COMPUTED_VALUE"""),"круг")</f>
        <v>круг</v>
      </c>
      <c r="C376" s="7" t="str">
        <f ca="1">IFERROR(__xludf.DUMMYFUNCTION("""COMPUTED_VALUE"""),"09Х16Н4Б (ЭП56)")</f>
        <v>09Х16Н4Б (ЭП56)</v>
      </c>
      <c r="D376" s="13">
        <f ca="1">IFERROR(__xludf.DUMMYFUNCTION("""COMPUTED_VALUE"""),65)</f>
        <v>65</v>
      </c>
      <c r="E376" s="13"/>
      <c r="F376" s="14" t="str">
        <f ca="1">IFERROR(__xludf.DUMMYFUNCTION("""COMPUTED_VALUE"""),"ту14-1-3564, РТТ, УЗК,2ГП, ")</f>
        <v xml:space="preserve">ту14-1-3564, РТТ, УЗК,2ГП, </v>
      </c>
      <c r="G376" s="15">
        <f ca="1">IFERROR(__xludf.DUMMYFUNCTION("""COMPUTED_VALUE"""),9.3)</f>
        <v>9.3000000000000007</v>
      </c>
      <c r="H376" s="15"/>
      <c r="I376" s="16">
        <f ca="1">IFERROR(__xludf.DUMMYFUNCTION("""COMPUTED_VALUE"""),680000)</f>
        <v>680000</v>
      </c>
    </row>
    <row r="377" spans="2:9" x14ac:dyDescent="0.3">
      <c r="B377" s="12" t="str">
        <f ca="1">IFERROR(__xludf.DUMMYFUNCTION("""COMPUTED_VALUE"""),"круг")</f>
        <v>круг</v>
      </c>
      <c r="C377" s="7" t="str">
        <f ca="1">IFERROR(__xludf.DUMMYFUNCTION("""COMPUTED_VALUE"""),"09Х16Н4Б (ЭП56)")</f>
        <v>09Х16Н4Б (ЭП56)</v>
      </c>
      <c r="D377" s="13">
        <f ca="1">IFERROR(__xludf.DUMMYFUNCTION("""COMPUTED_VALUE"""),70)</f>
        <v>70</v>
      </c>
      <c r="E377" s="13"/>
      <c r="F377" s="14" t="str">
        <f ca="1">IFERROR(__xludf.DUMMYFUNCTION("""COMPUTED_VALUE"""),"2590/14-1-3564 РТТ, 2ГП")</f>
        <v>2590/14-1-3564 РТТ, 2ГП</v>
      </c>
      <c r="G377" s="15">
        <f ca="1">IFERROR(__xludf.DUMMYFUNCTION("""COMPUTED_VALUE"""),5)</f>
        <v>5</v>
      </c>
      <c r="H377" s="15"/>
      <c r="I377" s="16">
        <f ca="1">IFERROR(__xludf.DUMMYFUNCTION("""COMPUTED_VALUE"""),680000)</f>
        <v>680000</v>
      </c>
    </row>
    <row r="378" spans="2:9" x14ac:dyDescent="0.3">
      <c r="B378" s="12" t="str">
        <f ca="1">IFERROR(__xludf.DUMMYFUNCTION("""COMPUTED_VALUE"""),"круг")</f>
        <v>круг</v>
      </c>
      <c r="C378" s="7" t="str">
        <f ca="1">IFERROR(__xludf.DUMMYFUNCTION("""COMPUTED_VALUE"""),"09Х16Н4Б (ЭП56)")</f>
        <v>09Х16Н4Б (ЭП56)</v>
      </c>
      <c r="D378" s="13">
        <f ca="1">IFERROR(__xludf.DUMMYFUNCTION("""COMPUTED_VALUE"""),70)</f>
        <v>70</v>
      </c>
      <c r="E378" s="13"/>
      <c r="F378" s="14" t="str">
        <f ca="1">IFERROR(__xludf.DUMMYFUNCTION("""COMPUTED_VALUE"""),"2590/14-1-3564 РТТ, 3ГП")</f>
        <v>2590/14-1-3564 РТТ, 3ГП</v>
      </c>
      <c r="G378" s="15">
        <f ca="1">IFERROR(__xludf.DUMMYFUNCTION("""COMPUTED_VALUE"""),0.299999999999999)</f>
        <v>0.29999999999999899</v>
      </c>
      <c r="H378" s="15"/>
      <c r="I378" s="16">
        <f ca="1">IFERROR(__xludf.DUMMYFUNCTION("""COMPUTED_VALUE"""),680000)</f>
        <v>680000</v>
      </c>
    </row>
    <row r="379" spans="2:9" x14ac:dyDescent="0.3">
      <c r="B379" s="12" t="str">
        <f ca="1">IFERROR(__xludf.DUMMYFUNCTION("""COMPUTED_VALUE"""),"круг")</f>
        <v>круг</v>
      </c>
      <c r="C379" s="7" t="str">
        <f ca="1">IFERROR(__xludf.DUMMYFUNCTION("""COMPUTED_VALUE"""),"09Х16Н4Б (ЭП56)")</f>
        <v>09Х16Н4Б (ЭП56)</v>
      </c>
      <c r="D379" s="13">
        <f ca="1">IFERROR(__xludf.DUMMYFUNCTION("""COMPUTED_VALUE"""),75)</f>
        <v>75</v>
      </c>
      <c r="E379" s="13"/>
      <c r="F379" s="14" t="str">
        <f ca="1">IFERROR(__xludf.DUMMYFUNCTION("""COMPUTED_VALUE"""),"2590/14-1-3564 РТТ, 3ГП")</f>
        <v>2590/14-1-3564 РТТ, 3ГП</v>
      </c>
      <c r="G379" s="15">
        <f ca="1">IFERROR(__xludf.DUMMYFUNCTION("""COMPUTED_VALUE"""),3)</f>
        <v>3</v>
      </c>
      <c r="H379" s="15"/>
      <c r="I379" s="16">
        <f ca="1">IFERROR(__xludf.DUMMYFUNCTION("""COMPUTED_VALUE"""),680000)</f>
        <v>680000</v>
      </c>
    </row>
    <row r="380" spans="2:9" x14ac:dyDescent="0.3">
      <c r="B380" s="12" t="str">
        <f ca="1">IFERROR(__xludf.DUMMYFUNCTION("""COMPUTED_VALUE"""),"круг")</f>
        <v>круг</v>
      </c>
      <c r="C380" s="7" t="str">
        <f ca="1">IFERROR(__xludf.DUMMYFUNCTION("""COMPUTED_VALUE"""),"09Х16Н4Б (ЭП56)")</f>
        <v>09Х16Н4Б (ЭП56)</v>
      </c>
      <c r="D380" s="13">
        <f ca="1">IFERROR(__xludf.DUMMYFUNCTION("""COMPUTED_VALUE"""),80)</f>
        <v>80</v>
      </c>
      <c r="E380" s="13"/>
      <c r="F380" s="14" t="str">
        <f ca="1">IFERROR(__xludf.DUMMYFUNCTION("""COMPUTED_VALUE"""),"ту14-1-3564, РТТ, УЗК,3ГП, ")</f>
        <v xml:space="preserve">ту14-1-3564, РТТ, УЗК,3ГП, </v>
      </c>
      <c r="G380" s="15">
        <f ca="1">IFERROR(__xludf.DUMMYFUNCTION("""COMPUTED_VALUE"""),0.140999999999999)</f>
        <v>0.14099999999999899</v>
      </c>
      <c r="H380" s="15"/>
      <c r="I380" s="16">
        <f ca="1">IFERROR(__xludf.DUMMYFUNCTION("""COMPUTED_VALUE"""),750000)</f>
        <v>750000</v>
      </c>
    </row>
    <row r="381" spans="2:9" x14ac:dyDescent="0.3">
      <c r="B381" s="12" t="str">
        <f ca="1">IFERROR(__xludf.DUMMYFUNCTION("""COMPUTED_VALUE"""),"круг")</f>
        <v>круг</v>
      </c>
      <c r="C381" s="7" t="str">
        <f ca="1">IFERROR(__xludf.DUMMYFUNCTION("""COMPUTED_VALUE"""),"09Х16Н4Б (ЭП56)")</f>
        <v>09Х16Н4Б (ЭП56)</v>
      </c>
      <c r="D381" s="13">
        <f ca="1">IFERROR(__xludf.DUMMYFUNCTION("""COMPUTED_VALUE"""),80)</f>
        <v>80</v>
      </c>
      <c r="E381" s="13"/>
      <c r="F381" s="14" t="str">
        <f ca="1">IFERROR(__xludf.DUMMYFUNCTION("""COMPUTED_VALUE"""),"2590/14-1-3564 РТТ, 3ГП")</f>
        <v>2590/14-1-3564 РТТ, 3ГП</v>
      </c>
      <c r="G381" s="15">
        <f ca="1">IFERROR(__xludf.DUMMYFUNCTION("""COMPUTED_VALUE"""),5)</f>
        <v>5</v>
      </c>
      <c r="H381" s="15"/>
      <c r="I381" s="16">
        <f ca="1">IFERROR(__xludf.DUMMYFUNCTION("""COMPUTED_VALUE"""),650000)</f>
        <v>650000</v>
      </c>
    </row>
    <row r="382" spans="2:9" x14ac:dyDescent="0.3">
      <c r="B382" s="12" t="str">
        <f ca="1">IFERROR(__xludf.DUMMYFUNCTION("""COMPUTED_VALUE"""),"круг")</f>
        <v>круг</v>
      </c>
      <c r="C382" s="7" t="str">
        <f ca="1">IFERROR(__xludf.DUMMYFUNCTION("""COMPUTED_VALUE"""),"09Х16Н4Б (ЭП56)")</f>
        <v>09Х16Н4Б (ЭП56)</v>
      </c>
      <c r="D382" s="13">
        <f ca="1">IFERROR(__xludf.DUMMYFUNCTION("""COMPUTED_VALUE"""),85)</f>
        <v>85</v>
      </c>
      <c r="E382" s="13"/>
      <c r="F382" s="14" t="str">
        <f ca="1">IFERROR(__xludf.DUMMYFUNCTION("""COMPUTED_VALUE"""),"ТУ 14-1-3564, ГОСТ 2590 АТП, ТО, узк, 2гп")</f>
        <v>ТУ 14-1-3564, ГОСТ 2590 АТП, ТО, узк, 2гп</v>
      </c>
      <c r="G382" s="15">
        <f ca="1">IFERROR(__xludf.DUMMYFUNCTION("""COMPUTED_VALUE"""),0.379)</f>
        <v>0.379</v>
      </c>
      <c r="H382" s="15"/>
      <c r="I382" s="16">
        <f ca="1">IFERROR(__xludf.DUMMYFUNCTION("""COMPUTED_VALUE"""),680000)</f>
        <v>680000</v>
      </c>
    </row>
    <row r="383" spans="2:9" x14ac:dyDescent="0.3">
      <c r="B383" s="12" t="str">
        <f ca="1">IFERROR(__xludf.DUMMYFUNCTION("""COMPUTED_VALUE"""),"круг")</f>
        <v>круг</v>
      </c>
      <c r="C383" s="7" t="str">
        <f ca="1">IFERROR(__xludf.DUMMYFUNCTION("""COMPUTED_VALUE"""),"09Х16Н4Б (ЭП56)")</f>
        <v>09Х16Н4Б (ЭП56)</v>
      </c>
      <c r="D383" s="13">
        <f ca="1">IFERROR(__xludf.DUMMYFUNCTION("""COMPUTED_VALUE"""),85)</f>
        <v>85</v>
      </c>
      <c r="E383" s="13"/>
      <c r="F383" s="14" t="str">
        <f ca="1">IFERROR(__xludf.DUMMYFUNCTION("""COMPUTED_VALUE"""),"2590/14-1-3564 РТТ, 3ГП")</f>
        <v>2590/14-1-3564 РТТ, 3ГП</v>
      </c>
      <c r="G383" s="15">
        <f ca="1">IFERROR(__xludf.DUMMYFUNCTION("""COMPUTED_VALUE"""),5)</f>
        <v>5</v>
      </c>
      <c r="H383" s="15"/>
      <c r="I383" s="16">
        <f ca="1">IFERROR(__xludf.DUMMYFUNCTION("""COMPUTED_VALUE"""),650000)</f>
        <v>650000</v>
      </c>
    </row>
    <row r="384" spans="2:9" x14ac:dyDescent="0.3">
      <c r="B384" s="12" t="str">
        <f ca="1">IFERROR(__xludf.DUMMYFUNCTION("""COMPUTED_VALUE"""),"круг")</f>
        <v>круг</v>
      </c>
      <c r="C384" s="7" t="str">
        <f ca="1">IFERROR(__xludf.DUMMYFUNCTION("""COMPUTED_VALUE"""),"09Х16Н4Б (ЭП56)")</f>
        <v>09Х16Н4Б (ЭП56)</v>
      </c>
      <c r="D384" s="13">
        <f ca="1">IFERROR(__xludf.DUMMYFUNCTION("""COMPUTED_VALUE"""),90)</f>
        <v>90</v>
      </c>
      <c r="E384" s="13"/>
      <c r="F384" s="14" t="str">
        <f ca="1">IFERROR(__xludf.DUMMYFUNCTION("""COMPUTED_VALUE"""),"ГОСТ 5949, ГОСТ 2590  РТТ, 2ГП")</f>
        <v>ГОСТ 5949, ГОСТ 2590  РТТ, 2ГП</v>
      </c>
      <c r="G384" s="15">
        <f ca="1">IFERROR(__xludf.DUMMYFUNCTION("""COMPUTED_VALUE"""),0.252)</f>
        <v>0.252</v>
      </c>
      <c r="H384" s="15"/>
      <c r="I384" s="16">
        <f ca="1">IFERROR(__xludf.DUMMYFUNCTION("""COMPUTED_VALUE"""),680000)</f>
        <v>680000</v>
      </c>
    </row>
    <row r="385" spans="2:9" x14ac:dyDescent="0.3">
      <c r="B385" s="12" t="str">
        <f ca="1">IFERROR(__xludf.DUMMYFUNCTION("""COMPUTED_VALUE"""),"круг")</f>
        <v>круг</v>
      </c>
      <c r="C385" s="7" t="str">
        <f ca="1">IFERROR(__xludf.DUMMYFUNCTION("""COMPUTED_VALUE"""),"09Х16Н4Б (ЭП56)")</f>
        <v>09Х16Н4Б (ЭП56)</v>
      </c>
      <c r="D385" s="13">
        <f ca="1">IFERROR(__xludf.DUMMYFUNCTION("""COMPUTED_VALUE"""),90)</f>
        <v>90</v>
      </c>
      <c r="E385" s="13"/>
      <c r="F385" s="14" t="str">
        <f ca="1">IFERROR(__xludf.DUMMYFUNCTION("""COMPUTED_VALUE"""),"ТУ 14-1-3564, ГОСТ 2590 , ТО, узк, 2гп без РТ")</f>
        <v>ТУ 14-1-3564, ГОСТ 2590 , ТО, узк, 2гп без РТ</v>
      </c>
      <c r="G385" s="15">
        <f ca="1">IFERROR(__xludf.DUMMYFUNCTION("""COMPUTED_VALUE"""),0.762)</f>
        <v>0.76200000000000001</v>
      </c>
      <c r="H385" s="15"/>
      <c r="I385" s="16">
        <f ca="1">IFERROR(__xludf.DUMMYFUNCTION("""COMPUTED_VALUE"""),745000)</f>
        <v>745000</v>
      </c>
    </row>
    <row r="386" spans="2:9" x14ac:dyDescent="0.3">
      <c r="B386" s="12" t="str">
        <f ca="1">IFERROR(__xludf.DUMMYFUNCTION("""COMPUTED_VALUE"""),"круг")</f>
        <v>круг</v>
      </c>
      <c r="C386" s="7" t="str">
        <f ca="1">IFERROR(__xludf.DUMMYFUNCTION("""COMPUTED_VALUE"""),"09Х16Н4Б (ЭП56)")</f>
        <v>09Х16Н4Б (ЭП56)</v>
      </c>
      <c r="D386" s="13">
        <f ca="1">IFERROR(__xludf.DUMMYFUNCTION("""COMPUTED_VALUE"""),90)</f>
        <v>90</v>
      </c>
      <c r="E386" s="13"/>
      <c r="F386" s="14" t="str">
        <f ca="1">IFERROR(__xludf.DUMMYFUNCTION("""COMPUTED_VALUE"""),"ТУ 14-1-3564, ГОСТ 2590 , ТО, узк, 2гп без РТ")</f>
        <v>ТУ 14-1-3564, ГОСТ 2590 , ТО, узк, 2гп без РТ</v>
      </c>
      <c r="G386" s="15">
        <f ca="1">IFERROR(__xludf.DUMMYFUNCTION("""COMPUTED_VALUE"""),5.715)</f>
        <v>5.7149999999999999</v>
      </c>
      <c r="H386" s="15"/>
      <c r="I386" s="16">
        <f ca="1">IFERROR(__xludf.DUMMYFUNCTION("""COMPUTED_VALUE"""),745000)</f>
        <v>745000</v>
      </c>
    </row>
    <row r="387" spans="2:9" x14ac:dyDescent="0.3">
      <c r="B387" s="12" t="str">
        <f ca="1">IFERROR(__xludf.DUMMYFUNCTION("""COMPUTED_VALUE"""),"круг")</f>
        <v>круг</v>
      </c>
      <c r="C387" s="7" t="str">
        <f ca="1">IFERROR(__xludf.DUMMYFUNCTION("""COMPUTED_VALUE"""),"09Х16Н4Б (ЭП56)")</f>
        <v>09Х16Н4Б (ЭП56)</v>
      </c>
      <c r="D387" s="13">
        <f ca="1">IFERROR(__xludf.DUMMYFUNCTION("""COMPUTED_VALUE"""),95)</f>
        <v>95</v>
      </c>
      <c r="E387" s="13"/>
      <c r="F387" s="14" t="str">
        <f ca="1">IFERROR(__xludf.DUMMYFUNCTION("""COMPUTED_VALUE"""),"2590/14-1-3564 РТТ, 2ГП")</f>
        <v>2590/14-1-3564 РТТ, 2ГП</v>
      </c>
      <c r="G387" s="15">
        <f ca="1">IFERROR(__xludf.DUMMYFUNCTION("""COMPUTED_VALUE"""),13)</f>
        <v>13</v>
      </c>
      <c r="H387" s="15"/>
      <c r="I387" s="16">
        <f ca="1">IFERROR(__xludf.DUMMYFUNCTION("""COMPUTED_VALUE"""),650000)</f>
        <v>650000</v>
      </c>
    </row>
    <row r="388" spans="2:9" x14ac:dyDescent="0.3">
      <c r="B388" s="12" t="str">
        <f ca="1">IFERROR(__xludf.DUMMYFUNCTION("""COMPUTED_VALUE"""),"круг")</f>
        <v>круг</v>
      </c>
      <c r="C388" s="7" t="str">
        <f ca="1">IFERROR(__xludf.DUMMYFUNCTION("""COMPUTED_VALUE"""),"09Х16Н4Б (ЭП56)")</f>
        <v>09Х16Н4Б (ЭП56)</v>
      </c>
      <c r="D388" s="13">
        <f ca="1">IFERROR(__xludf.DUMMYFUNCTION("""COMPUTED_VALUE"""),95)</f>
        <v>95</v>
      </c>
      <c r="E388" s="13"/>
      <c r="F388" s="14" t="str">
        <f ca="1">IFERROR(__xludf.DUMMYFUNCTION("""COMPUTED_VALUE"""),"ГОСТ 5949, ГОСТ 2590  ТО, узк, 2гп, БЕЗ РТ")</f>
        <v>ГОСТ 5949, ГОСТ 2590  ТО, узк, 2гп, БЕЗ РТ</v>
      </c>
      <c r="G388" s="15">
        <f ca="1">IFERROR(__xludf.DUMMYFUNCTION("""COMPUTED_VALUE"""),0.0710000000000001)</f>
        <v>7.1000000000000105E-2</v>
      </c>
      <c r="H388" s="15"/>
      <c r="I388" s="16">
        <f ca="1">IFERROR(__xludf.DUMMYFUNCTION("""COMPUTED_VALUE"""),650000)</f>
        <v>650000</v>
      </c>
    </row>
    <row r="389" spans="2:9" x14ac:dyDescent="0.3">
      <c r="B389" s="12" t="str">
        <f ca="1">IFERROR(__xludf.DUMMYFUNCTION("""COMPUTED_VALUE"""),"круг")</f>
        <v>круг</v>
      </c>
      <c r="C389" s="7" t="str">
        <f ca="1">IFERROR(__xludf.DUMMYFUNCTION("""COMPUTED_VALUE"""),"09Х16Н4Б (ЭП56)")</f>
        <v>09Х16Н4Б (ЭП56)</v>
      </c>
      <c r="D389" s="13">
        <f ca="1">IFERROR(__xludf.DUMMYFUNCTION("""COMPUTED_VALUE"""),95)</f>
        <v>95</v>
      </c>
      <c r="E389" s="13"/>
      <c r="F389" s="14" t="str">
        <f ca="1">IFERROR(__xludf.DUMMYFUNCTION("""COMPUTED_VALUE"""),"ТУ 14-1-3564, ГОСТ 2590 , ТО, узк, 3гп")</f>
        <v>ТУ 14-1-3564, ГОСТ 2590 , ТО, узк, 3гп</v>
      </c>
      <c r="G389" s="15">
        <f ca="1">IFERROR(__xludf.DUMMYFUNCTION("""COMPUTED_VALUE"""),3.368)</f>
        <v>3.3679999999999999</v>
      </c>
      <c r="H389" s="15"/>
      <c r="I389" s="16">
        <f ca="1">IFERROR(__xludf.DUMMYFUNCTION("""COMPUTED_VALUE"""),650000)</f>
        <v>650000</v>
      </c>
    </row>
    <row r="390" spans="2:9" x14ac:dyDescent="0.3">
      <c r="B390" s="12" t="str">
        <f ca="1">IFERROR(__xludf.DUMMYFUNCTION("""COMPUTED_VALUE"""),"круг")</f>
        <v>круг</v>
      </c>
      <c r="C390" s="7" t="str">
        <f ca="1">IFERROR(__xludf.DUMMYFUNCTION("""COMPUTED_VALUE"""),"09Х16Н4Б (ЭП56)")</f>
        <v>09Х16Н4Б (ЭП56)</v>
      </c>
      <c r="D390" s="13">
        <f ca="1">IFERROR(__xludf.DUMMYFUNCTION("""COMPUTED_VALUE"""),100)</f>
        <v>100</v>
      </c>
      <c r="E390" s="13"/>
      <c r="F390" s="14" t="str">
        <f ca="1">IFERROR(__xludf.DUMMYFUNCTION("""COMPUTED_VALUE"""),"2590/14-1-3564 РТТ, 2ГП")</f>
        <v>2590/14-1-3564 РТТ, 2ГП</v>
      </c>
      <c r="G390" s="15">
        <f ca="1">IFERROR(__xludf.DUMMYFUNCTION("""COMPUTED_VALUE"""),5)</f>
        <v>5</v>
      </c>
      <c r="H390" s="15"/>
      <c r="I390" s="16">
        <f ca="1">IFERROR(__xludf.DUMMYFUNCTION("""COMPUTED_VALUE"""),650000)</f>
        <v>650000</v>
      </c>
    </row>
    <row r="391" spans="2:9" x14ac:dyDescent="0.3">
      <c r="B391" s="12" t="str">
        <f ca="1">IFERROR(__xludf.DUMMYFUNCTION("""COMPUTED_VALUE"""),"круг")</f>
        <v>круг</v>
      </c>
      <c r="C391" s="7" t="str">
        <f ca="1">IFERROR(__xludf.DUMMYFUNCTION("""COMPUTED_VALUE"""),"09Х16Н4Б (ЭП56)")</f>
        <v>09Х16Н4Б (ЭП56)</v>
      </c>
      <c r="D391" s="13">
        <f ca="1">IFERROR(__xludf.DUMMYFUNCTION("""COMPUTED_VALUE"""),100)</f>
        <v>100</v>
      </c>
      <c r="E391" s="13"/>
      <c r="F391" s="14" t="str">
        <f ca="1">IFERROR(__xludf.DUMMYFUNCTION("""COMPUTED_VALUE"""),"2590/14-1-3564 РТТ, 3ГП")</f>
        <v>2590/14-1-3564 РТТ, 3ГП</v>
      </c>
      <c r="G391" s="15">
        <f ca="1">IFERROR(__xludf.DUMMYFUNCTION("""COMPUTED_VALUE"""),5)</f>
        <v>5</v>
      </c>
      <c r="H391" s="15"/>
      <c r="I391" s="16">
        <f ca="1">IFERROR(__xludf.DUMMYFUNCTION("""COMPUTED_VALUE"""),650000)</f>
        <v>650000</v>
      </c>
    </row>
    <row r="392" spans="2:9" x14ac:dyDescent="0.3">
      <c r="B392" s="12" t="str">
        <f ca="1">IFERROR(__xludf.DUMMYFUNCTION("""COMPUTED_VALUE"""),"круг")</f>
        <v>круг</v>
      </c>
      <c r="C392" s="7" t="str">
        <f ca="1">IFERROR(__xludf.DUMMYFUNCTION("""COMPUTED_VALUE"""),"09Х16Н4Б (ЭП56)")</f>
        <v>09Х16Н4Б (ЭП56)</v>
      </c>
      <c r="D392" s="13">
        <f ca="1">IFERROR(__xludf.DUMMYFUNCTION("""COMPUTED_VALUE"""),105)</f>
        <v>105</v>
      </c>
      <c r="E392" s="13"/>
      <c r="F392" s="14" t="str">
        <f ca="1">IFERROR(__xludf.DUMMYFUNCTION("""COMPUTED_VALUE"""),"2590/14-1-3564 РТТ, 2ГП")</f>
        <v>2590/14-1-3564 РТТ, 2ГП</v>
      </c>
      <c r="G392" s="15">
        <f ca="1">IFERROR(__xludf.DUMMYFUNCTION("""COMPUTED_VALUE"""),5)</f>
        <v>5</v>
      </c>
      <c r="H392" s="15"/>
      <c r="I392" s="16">
        <f ca="1">IFERROR(__xludf.DUMMYFUNCTION("""COMPUTED_VALUE"""),650000)</f>
        <v>650000</v>
      </c>
    </row>
    <row r="393" spans="2:9" x14ac:dyDescent="0.3">
      <c r="B393" s="12" t="str">
        <f ca="1">IFERROR(__xludf.DUMMYFUNCTION("""COMPUTED_VALUE"""),"круг")</f>
        <v>круг</v>
      </c>
      <c r="C393" s="7" t="str">
        <f ca="1">IFERROR(__xludf.DUMMYFUNCTION("""COMPUTED_VALUE"""),"09Х16Н4Б (ЭП56)")</f>
        <v>09Х16Н4Б (ЭП56)</v>
      </c>
      <c r="D393" s="13">
        <f ca="1">IFERROR(__xludf.DUMMYFUNCTION("""COMPUTED_VALUE"""),110)</f>
        <v>110</v>
      </c>
      <c r="E393" s="13"/>
      <c r="F393" s="14" t="str">
        <f ca="1">IFERROR(__xludf.DUMMYFUNCTION("""COMPUTED_VALUE"""),"2590/14-1-3564 РТТ, 2ГП")</f>
        <v>2590/14-1-3564 РТТ, 2ГП</v>
      </c>
      <c r="G393" s="15">
        <f ca="1">IFERROR(__xludf.DUMMYFUNCTION("""COMPUTED_VALUE"""),5)</f>
        <v>5</v>
      </c>
      <c r="H393" s="15"/>
      <c r="I393" s="16">
        <f ca="1">IFERROR(__xludf.DUMMYFUNCTION("""COMPUTED_VALUE"""),650000)</f>
        <v>650000</v>
      </c>
    </row>
    <row r="394" spans="2:9" x14ac:dyDescent="0.3">
      <c r="B394" s="12" t="str">
        <f ca="1">IFERROR(__xludf.DUMMYFUNCTION("""COMPUTED_VALUE"""),"круг")</f>
        <v>круг</v>
      </c>
      <c r="C394" s="7" t="str">
        <f ca="1">IFERROR(__xludf.DUMMYFUNCTION("""COMPUTED_VALUE"""),"09Х16Н4Б (ЭП56)")</f>
        <v>09Х16Н4Б (ЭП56)</v>
      </c>
      <c r="D394" s="13">
        <f ca="1">IFERROR(__xludf.DUMMYFUNCTION("""COMPUTED_VALUE"""),110)</f>
        <v>110</v>
      </c>
      <c r="E394" s="13"/>
      <c r="F394" s="14" t="str">
        <f ca="1">IFERROR(__xludf.DUMMYFUNCTION("""COMPUTED_VALUE"""),"2590/14-1-3564 РТТ, 3ГП")</f>
        <v>2590/14-1-3564 РТТ, 3ГП</v>
      </c>
      <c r="G394" s="15">
        <f ca="1">IFERROR(__xludf.DUMMYFUNCTION("""COMPUTED_VALUE"""),5)</f>
        <v>5</v>
      </c>
      <c r="H394" s="15"/>
      <c r="I394" s="16">
        <f ca="1">IFERROR(__xludf.DUMMYFUNCTION("""COMPUTED_VALUE"""),650000)</f>
        <v>650000</v>
      </c>
    </row>
    <row r="395" spans="2:9" x14ac:dyDescent="0.3">
      <c r="B395" s="12" t="str">
        <f ca="1">IFERROR(__xludf.DUMMYFUNCTION("""COMPUTED_VALUE"""),"круг")</f>
        <v>круг</v>
      </c>
      <c r="C395" s="7" t="str">
        <f ca="1">IFERROR(__xludf.DUMMYFUNCTION("""COMPUTED_VALUE"""),"09Х16Н4Б (ЭП56)")</f>
        <v>09Х16Н4Б (ЭП56)</v>
      </c>
      <c r="D395" s="13">
        <f ca="1">IFERROR(__xludf.DUMMYFUNCTION("""COMPUTED_VALUE"""),120)</f>
        <v>120</v>
      </c>
      <c r="E395" s="13"/>
      <c r="F395" s="14" t="str">
        <f ca="1">IFERROR(__xludf.DUMMYFUNCTION("""COMPUTED_VALUE"""),"2590/14-1-3564 РТТ, 2ГП")</f>
        <v>2590/14-1-3564 РТТ, 2ГП</v>
      </c>
      <c r="G395" s="15">
        <f ca="1">IFERROR(__xludf.DUMMYFUNCTION("""COMPUTED_VALUE"""),10)</f>
        <v>10</v>
      </c>
      <c r="H395" s="15"/>
      <c r="I395" s="16">
        <f ca="1">IFERROR(__xludf.DUMMYFUNCTION("""COMPUTED_VALUE"""),650000)</f>
        <v>650000</v>
      </c>
    </row>
    <row r="396" spans="2:9" x14ac:dyDescent="0.3">
      <c r="B396" s="12" t="str">
        <f ca="1">IFERROR(__xludf.DUMMYFUNCTION("""COMPUTED_VALUE"""),"круг")</f>
        <v>круг</v>
      </c>
      <c r="C396" s="7" t="str">
        <f ca="1">IFERROR(__xludf.DUMMYFUNCTION("""COMPUTED_VALUE"""),"09Х16Н4Б (ЭП56)")</f>
        <v>09Х16Н4Б (ЭП56)</v>
      </c>
      <c r="D396" s="13">
        <f ca="1">IFERROR(__xludf.DUMMYFUNCTION("""COMPUTED_VALUE"""),125)</f>
        <v>125</v>
      </c>
      <c r="E396" s="13"/>
      <c r="F396" s="14" t="str">
        <f ca="1">IFERROR(__xludf.DUMMYFUNCTION("""COMPUTED_VALUE"""),"2590/14-1-3564 РТТ, 2ГП")</f>
        <v>2590/14-1-3564 РТТ, 2ГП</v>
      </c>
      <c r="G396" s="15">
        <f ca="1">IFERROR(__xludf.DUMMYFUNCTION("""COMPUTED_VALUE"""),5)</f>
        <v>5</v>
      </c>
      <c r="H396" s="15"/>
      <c r="I396" s="16">
        <f ca="1">IFERROR(__xludf.DUMMYFUNCTION("""COMPUTED_VALUE"""),650000)</f>
        <v>650000</v>
      </c>
    </row>
    <row r="397" spans="2:9" x14ac:dyDescent="0.3">
      <c r="B397" s="12" t="str">
        <f ca="1">IFERROR(__xludf.DUMMYFUNCTION("""COMPUTED_VALUE"""),"круг")</f>
        <v>круг</v>
      </c>
      <c r="C397" s="7" t="str">
        <f ca="1">IFERROR(__xludf.DUMMYFUNCTION("""COMPUTED_VALUE"""),"09Х16Н4Б (ЭП56)")</f>
        <v>09Х16Н4Б (ЭП56)</v>
      </c>
      <c r="D397" s="13">
        <f ca="1">IFERROR(__xludf.DUMMYFUNCTION("""COMPUTED_VALUE"""),130)</f>
        <v>130</v>
      </c>
      <c r="E397" s="13"/>
      <c r="F397" s="14" t="str">
        <f ca="1">IFERROR(__xludf.DUMMYFUNCTION("""COMPUTED_VALUE"""),"2590/14-1-3564 РТТ, 2ГП")</f>
        <v>2590/14-1-3564 РТТ, 2ГП</v>
      </c>
      <c r="G397" s="15">
        <f ca="1">IFERROR(__xludf.DUMMYFUNCTION("""COMPUTED_VALUE"""),5)</f>
        <v>5</v>
      </c>
      <c r="H397" s="15"/>
      <c r="I397" s="16">
        <f ca="1">IFERROR(__xludf.DUMMYFUNCTION("""COMPUTED_VALUE"""),650000)</f>
        <v>650000</v>
      </c>
    </row>
    <row r="398" spans="2:9" x14ac:dyDescent="0.3">
      <c r="B398" s="12" t="str">
        <f ca="1">IFERROR(__xludf.DUMMYFUNCTION("""COMPUTED_VALUE"""),"круг")</f>
        <v>круг</v>
      </c>
      <c r="C398" s="7" t="str">
        <f ca="1">IFERROR(__xludf.DUMMYFUNCTION("""COMPUTED_VALUE"""),"09Х16Н4Б (ЭП56)")</f>
        <v>09Х16Н4Б (ЭП56)</v>
      </c>
      <c r="D398" s="13">
        <f ca="1">IFERROR(__xludf.DUMMYFUNCTION("""COMPUTED_VALUE"""),130)</f>
        <v>130</v>
      </c>
      <c r="E398" s="13"/>
      <c r="F398" s="14" t="str">
        <f ca="1">IFERROR(__xludf.DUMMYFUNCTION("""COMPUTED_VALUE"""),"ТУ 14-1-3564, ГОСТ 2590 , ТО, узк, 2гп без РТ")</f>
        <v>ТУ 14-1-3564, ГОСТ 2590 , ТО, узк, 2гп без РТ</v>
      </c>
      <c r="G398" s="15">
        <f ca="1">IFERROR(__xludf.DUMMYFUNCTION("""COMPUTED_VALUE"""),0.0150000000000005)</f>
        <v>1.5000000000000501E-2</v>
      </c>
      <c r="H398" s="15"/>
      <c r="I398" s="16">
        <f ca="1">IFERROR(__xludf.DUMMYFUNCTION("""COMPUTED_VALUE"""),750000)</f>
        <v>750000</v>
      </c>
    </row>
    <row r="399" spans="2:9" x14ac:dyDescent="0.3">
      <c r="B399" s="12" t="str">
        <f ca="1">IFERROR(__xludf.DUMMYFUNCTION("""COMPUTED_VALUE"""),"круг")</f>
        <v>круг</v>
      </c>
      <c r="C399" s="7" t="str">
        <f ca="1">IFERROR(__xludf.DUMMYFUNCTION("""COMPUTED_VALUE"""),"09Х16Н4Б (ЭП56)")</f>
        <v>09Х16Н4Б (ЭП56)</v>
      </c>
      <c r="D399" s="13">
        <f ca="1">IFERROR(__xludf.DUMMYFUNCTION("""COMPUTED_VALUE"""),140)</f>
        <v>140</v>
      </c>
      <c r="E399" s="13"/>
      <c r="F399" s="14" t="str">
        <f ca="1">IFERROR(__xludf.DUMMYFUNCTION("""COMPUTED_VALUE"""),"ТУ 14-1-3564, ГОСТ 2590 , ТО, узк, 2гп без РТ")</f>
        <v>ТУ 14-1-3564, ГОСТ 2590 , ТО, узк, 2гп без РТ</v>
      </c>
      <c r="G399" s="15">
        <f ca="1">IFERROR(__xludf.DUMMYFUNCTION("""COMPUTED_VALUE"""),1.03999999999999)</f>
        <v>1.03999999999999</v>
      </c>
      <c r="H399" s="15"/>
      <c r="I399" s="16">
        <f ca="1">IFERROR(__xludf.DUMMYFUNCTION("""COMPUTED_VALUE"""),750000)</f>
        <v>750000</v>
      </c>
    </row>
    <row r="400" spans="2:9" x14ac:dyDescent="0.3">
      <c r="B400" s="12" t="str">
        <f ca="1">IFERROR(__xludf.DUMMYFUNCTION("""COMPUTED_VALUE"""),"круг")</f>
        <v>круг</v>
      </c>
      <c r="C400" s="7" t="str">
        <f ca="1">IFERROR(__xludf.DUMMYFUNCTION("""COMPUTED_VALUE"""),"09Х16Н4Б (ЭП56)")</f>
        <v>09Х16Н4Б (ЭП56)</v>
      </c>
      <c r="D400" s="13">
        <f ca="1">IFERROR(__xludf.DUMMYFUNCTION("""COMPUTED_VALUE"""),140)</f>
        <v>140</v>
      </c>
      <c r="E400" s="13"/>
      <c r="F400" s="14" t="str">
        <f ca="1">IFERROR(__xludf.DUMMYFUNCTION("""COMPUTED_VALUE"""),"ТУ 14-1-3564, ГОСТ 2590 , ТО, узк, 2гп без РТ")</f>
        <v>ТУ 14-1-3564, ГОСТ 2590 , ТО, узк, 2гп без РТ</v>
      </c>
      <c r="G400" s="15">
        <f ca="1">IFERROR(__xludf.DUMMYFUNCTION("""COMPUTED_VALUE"""),3.385)</f>
        <v>3.3849999999999998</v>
      </c>
      <c r="H400" s="15"/>
      <c r="I400" s="16">
        <f ca="1">IFERROR(__xludf.DUMMYFUNCTION("""COMPUTED_VALUE"""),750000)</f>
        <v>750000</v>
      </c>
    </row>
    <row r="401" spans="2:9" x14ac:dyDescent="0.3">
      <c r="B401" s="12" t="str">
        <f ca="1">IFERROR(__xludf.DUMMYFUNCTION("""COMPUTED_VALUE"""),"круг")</f>
        <v>круг</v>
      </c>
      <c r="C401" s="7" t="str">
        <f ca="1">IFERROR(__xludf.DUMMYFUNCTION("""COMPUTED_VALUE"""),"09Х16Н4Б (ЭП56)")</f>
        <v>09Х16Н4Б (ЭП56)</v>
      </c>
      <c r="D401" s="13">
        <f ca="1">IFERROR(__xludf.DUMMYFUNCTION("""COMPUTED_VALUE"""),150)</f>
        <v>150</v>
      </c>
      <c r="E401" s="13"/>
      <c r="F401" s="14" t="str">
        <f ca="1">IFERROR(__xludf.DUMMYFUNCTION("""COMPUTED_VALUE"""),"ТУ 14-1-3564, ГОСТ 2590 АТП, ТО, узк, 3гп")</f>
        <v>ТУ 14-1-3564, ГОСТ 2590 АТП, ТО, узк, 3гп</v>
      </c>
      <c r="G401" s="15">
        <f ca="1">IFERROR(__xludf.DUMMYFUNCTION("""COMPUTED_VALUE"""),0.0769999999999999)</f>
        <v>7.6999999999999902E-2</v>
      </c>
      <c r="H401" s="15"/>
      <c r="I401" s="16">
        <f ca="1">IFERROR(__xludf.DUMMYFUNCTION("""COMPUTED_VALUE"""),745000)</f>
        <v>745000</v>
      </c>
    </row>
    <row r="402" spans="2:9" x14ac:dyDescent="0.3">
      <c r="B402" s="12" t="str">
        <f ca="1">IFERROR(__xludf.DUMMYFUNCTION("""COMPUTED_VALUE"""),"круг")</f>
        <v>круг</v>
      </c>
      <c r="C402" s="7" t="str">
        <f ca="1">IFERROR(__xludf.DUMMYFUNCTION("""COMPUTED_VALUE"""),"09Х16Н4Б (ЭП56)")</f>
        <v>09Х16Н4Б (ЭП56)</v>
      </c>
      <c r="D402" s="13">
        <f ca="1">IFERROR(__xludf.DUMMYFUNCTION("""COMPUTED_VALUE"""),150)</f>
        <v>150</v>
      </c>
      <c r="E402" s="13"/>
      <c r="F402" s="14" t="str">
        <f ca="1">IFERROR(__xludf.DUMMYFUNCTION("""COMPUTED_VALUE"""),"ТУ 14-1-3564, ГОСТ 2590 , ТО, узк, 2гп без РТ")</f>
        <v>ТУ 14-1-3564, ГОСТ 2590 , ТО, узк, 2гп без РТ</v>
      </c>
      <c r="G402" s="15">
        <f ca="1">IFERROR(__xludf.DUMMYFUNCTION("""COMPUTED_VALUE"""),3.999)</f>
        <v>3.9990000000000001</v>
      </c>
      <c r="H402" s="15"/>
      <c r="I402" s="16">
        <f ca="1">IFERROR(__xludf.DUMMYFUNCTION("""COMPUTED_VALUE"""),745000)</f>
        <v>745000</v>
      </c>
    </row>
    <row r="403" spans="2:9" x14ac:dyDescent="0.3">
      <c r="B403" s="12" t="str">
        <f ca="1">IFERROR(__xludf.DUMMYFUNCTION("""COMPUTED_VALUE"""),"круг")</f>
        <v>круг</v>
      </c>
      <c r="C403" s="7" t="str">
        <f ca="1">IFERROR(__xludf.DUMMYFUNCTION("""COMPUTED_VALUE"""),"09Х16Н4Б (ЭП56)")</f>
        <v>09Х16Н4Б (ЭП56)</v>
      </c>
      <c r="D403" s="13">
        <f ca="1">IFERROR(__xludf.DUMMYFUNCTION("""COMPUTED_VALUE"""),150)</f>
        <v>150</v>
      </c>
      <c r="E403" s="13"/>
      <c r="F403" s="14" t="str">
        <f ca="1">IFERROR(__xludf.DUMMYFUNCTION("""COMPUTED_VALUE"""),"ТУ 14-1-3564, ГОСТ 2590 , ТО, узк, 2гп без РТ")</f>
        <v>ТУ 14-1-3564, ГОСТ 2590 , ТО, узк, 2гп без РТ</v>
      </c>
      <c r="G403" s="15">
        <f ca="1">IFERROR(__xludf.DUMMYFUNCTION("""COMPUTED_VALUE"""),1.945)</f>
        <v>1.9450000000000001</v>
      </c>
      <c r="H403" s="15"/>
      <c r="I403" s="16">
        <f ca="1">IFERROR(__xludf.DUMMYFUNCTION("""COMPUTED_VALUE"""),745000)</f>
        <v>745000</v>
      </c>
    </row>
    <row r="404" spans="2:9" x14ac:dyDescent="0.3">
      <c r="B404" s="12" t="str">
        <f ca="1">IFERROR(__xludf.DUMMYFUNCTION("""COMPUTED_VALUE"""),"круг")</f>
        <v>круг</v>
      </c>
      <c r="C404" s="7" t="str">
        <f ca="1">IFERROR(__xludf.DUMMYFUNCTION("""COMPUTED_VALUE"""),"09Х16Н4Б (ЭП56)")</f>
        <v>09Х16Н4Б (ЭП56)</v>
      </c>
      <c r="D404" s="13">
        <f ca="1">IFERROR(__xludf.DUMMYFUNCTION("""COMPUTED_VALUE"""),160)</f>
        <v>160</v>
      </c>
      <c r="E404" s="13"/>
      <c r="F404" s="14" t="str">
        <f ca="1">IFERROR(__xludf.DUMMYFUNCTION("""COMPUTED_VALUE"""),"ТУ 14-1-3564, ГОСТ 2590 , ТО, узк, 2гп без РТ")</f>
        <v>ТУ 14-1-3564, ГОСТ 2590 , ТО, узк, 2гп без РТ</v>
      </c>
      <c r="G404" s="15">
        <f ca="1">IFERROR(__xludf.DUMMYFUNCTION("""COMPUTED_VALUE"""),0.125999999999999)</f>
        <v>0.125999999999999</v>
      </c>
      <c r="H404" s="15"/>
      <c r="I404" s="16">
        <f ca="1">IFERROR(__xludf.DUMMYFUNCTION("""COMPUTED_VALUE"""),695000)</f>
        <v>695000</v>
      </c>
    </row>
    <row r="405" spans="2:9" x14ac:dyDescent="0.3">
      <c r="B405" s="12" t="str">
        <f ca="1">IFERROR(__xludf.DUMMYFUNCTION("""COMPUTED_VALUE"""),"круг")</f>
        <v>круг</v>
      </c>
      <c r="C405" s="7" t="str">
        <f ca="1">IFERROR(__xludf.DUMMYFUNCTION("""COMPUTED_VALUE"""),"09Х16Н4Б (ЭП56)")</f>
        <v>09Х16Н4Б (ЭП56)</v>
      </c>
      <c r="D405" s="13">
        <f ca="1">IFERROR(__xludf.DUMMYFUNCTION("""COMPUTED_VALUE"""),160)</f>
        <v>160</v>
      </c>
      <c r="E405" s="13"/>
      <c r="F405" s="14" t="str">
        <f ca="1">IFERROR(__xludf.DUMMYFUNCTION("""COMPUTED_VALUE"""),"2590/14-1-3564 РТТ, 3ГП")</f>
        <v>2590/14-1-3564 РТТ, 3ГП</v>
      </c>
      <c r="G405" s="15">
        <f ca="1">IFERROR(__xludf.DUMMYFUNCTION("""COMPUTED_VALUE"""),3.42)</f>
        <v>3.42</v>
      </c>
      <c r="H405" s="15"/>
      <c r="I405" s="16">
        <f ca="1">IFERROR(__xludf.DUMMYFUNCTION("""COMPUTED_VALUE"""),680000)</f>
        <v>680000</v>
      </c>
    </row>
    <row r="406" spans="2:9" x14ac:dyDescent="0.3">
      <c r="B406" s="12" t="str">
        <f ca="1">IFERROR(__xludf.DUMMYFUNCTION("""COMPUTED_VALUE"""),"круг")</f>
        <v>круг</v>
      </c>
      <c r="C406" s="7" t="str">
        <f ca="1">IFERROR(__xludf.DUMMYFUNCTION("""COMPUTED_VALUE"""),"09Х16Н4Б (ЭП56)")</f>
        <v>09Х16Н4Б (ЭП56)</v>
      </c>
      <c r="D406" s="13">
        <f ca="1">IFERROR(__xludf.DUMMYFUNCTION("""COMPUTED_VALUE"""),170)</f>
        <v>170</v>
      </c>
      <c r="E406" s="13"/>
      <c r="F406" s="14" t="str">
        <f ca="1">IFERROR(__xludf.DUMMYFUNCTION("""COMPUTED_VALUE"""),"ГОСТ 5949, ГОСТ 2590 2гп, обточ.")</f>
        <v>ГОСТ 5949, ГОСТ 2590 2гп, обточ.</v>
      </c>
      <c r="G406" s="15">
        <f ca="1">IFERROR(__xludf.DUMMYFUNCTION("""COMPUTED_VALUE"""),1.02999999999999)</f>
        <v>1.02999999999999</v>
      </c>
      <c r="H406" s="15"/>
      <c r="I406" s="16">
        <f ca="1">IFERROR(__xludf.DUMMYFUNCTION("""COMPUTED_VALUE"""),695000)</f>
        <v>695000</v>
      </c>
    </row>
    <row r="407" spans="2:9" x14ac:dyDescent="0.3">
      <c r="B407" s="12" t="str">
        <f ca="1">IFERROR(__xludf.DUMMYFUNCTION("""COMPUTED_VALUE"""),"круг")</f>
        <v>круг</v>
      </c>
      <c r="C407" s="7" t="str">
        <f ca="1">IFERROR(__xludf.DUMMYFUNCTION("""COMPUTED_VALUE"""),"09Х16Н4Б (ЭП56)")</f>
        <v>09Х16Н4Б (ЭП56)</v>
      </c>
      <c r="D407" s="13">
        <f ca="1">IFERROR(__xludf.DUMMYFUNCTION("""COMPUTED_VALUE"""),170)</f>
        <v>170</v>
      </c>
      <c r="E407" s="13"/>
      <c r="F407" s="14" t="str">
        <f ca="1">IFERROR(__xludf.DUMMYFUNCTION("""COMPUTED_VALUE"""),"ТУ 14-1-3564, ГОСТ 2590 , ТО, узк, 2гп без РТ")</f>
        <v>ТУ 14-1-3564, ГОСТ 2590 , ТО, узк, 2гп без РТ</v>
      </c>
      <c r="G407" s="15">
        <f ca="1">IFERROR(__xludf.DUMMYFUNCTION("""COMPUTED_VALUE"""),0.112)</f>
        <v>0.112</v>
      </c>
      <c r="H407" s="15"/>
      <c r="I407" s="16">
        <f ca="1">IFERROR(__xludf.DUMMYFUNCTION("""COMPUTED_VALUE"""),695000)</f>
        <v>695000</v>
      </c>
    </row>
    <row r="408" spans="2:9" x14ac:dyDescent="0.3">
      <c r="B408" s="12" t="str">
        <f ca="1">IFERROR(__xludf.DUMMYFUNCTION("""COMPUTED_VALUE"""),"круг")</f>
        <v>круг</v>
      </c>
      <c r="C408" s="7" t="str">
        <f ca="1">IFERROR(__xludf.DUMMYFUNCTION("""COMPUTED_VALUE"""),"09Х16Н4Б (ЭП56)")</f>
        <v>09Х16Н4Б (ЭП56)</v>
      </c>
      <c r="D408" s="13">
        <f ca="1">IFERROR(__xludf.DUMMYFUNCTION("""COMPUTED_VALUE"""),170)</f>
        <v>170</v>
      </c>
      <c r="E408" s="13"/>
      <c r="F408" s="14" t="str">
        <f ca="1">IFERROR(__xludf.DUMMYFUNCTION("""COMPUTED_VALUE"""),"ТУ 14-1-3564, ГОСТ 2590 , ТО, узк, 2гп без РТ")</f>
        <v>ТУ 14-1-3564, ГОСТ 2590 , ТО, узк, 2гп без РТ</v>
      </c>
      <c r="G408" s="15">
        <f ca="1">IFERROR(__xludf.DUMMYFUNCTION("""COMPUTED_VALUE"""),1.71099999999999)</f>
        <v>1.7109999999999901</v>
      </c>
      <c r="H408" s="15"/>
      <c r="I408" s="16">
        <f ca="1">IFERROR(__xludf.DUMMYFUNCTION("""COMPUTED_VALUE"""),695000)</f>
        <v>695000</v>
      </c>
    </row>
    <row r="409" spans="2:9" x14ac:dyDescent="0.3">
      <c r="B409" s="12" t="str">
        <f ca="1">IFERROR(__xludf.DUMMYFUNCTION("""COMPUTED_VALUE"""),"круг")</f>
        <v>круг</v>
      </c>
      <c r="C409" s="7" t="str">
        <f ca="1">IFERROR(__xludf.DUMMYFUNCTION("""COMPUTED_VALUE"""),"09Х16Н4Б (ЭП56)")</f>
        <v>09Х16Н4Б (ЭП56)</v>
      </c>
      <c r="D409" s="13">
        <f ca="1">IFERROR(__xludf.DUMMYFUNCTION("""COMPUTED_VALUE"""),170)</f>
        <v>170</v>
      </c>
      <c r="E409" s="13"/>
      <c r="F409" s="14" t="str">
        <f ca="1">IFERROR(__xludf.DUMMYFUNCTION("""COMPUTED_VALUE"""),"ТУ 14-1-3564, ГОСТ 2590 , ТО, узк, 2гп без РТ")</f>
        <v>ТУ 14-1-3564, ГОСТ 2590 , ТО, узк, 2гп без РТ</v>
      </c>
      <c r="G409" s="15">
        <f ca="1">IFERROR(__xludf.DUMMYFUNCTION("""COMPUTED_VALUE"""),4.17)</f>
        <v>4.17</v>
      </c>
      <c r="H409" s="15"/>
      <c r="I409" s="16">
        <f ca="1">IFERROR(__xludf.DUMMYFUNCTION("""COMPUTED_VALUE"""),695000)</f>
        <v>695000</v>
      </c>
    </row>
    <row r="410" spans="2:9" x14ac:dyDescent="0.3">
      <c r="B410" s="12" t="str">
        <f ca="1">IFERROR(__xludf.DUMMYFUNCTION("""COMPUTED_VALUE"""),"круг")</f>
        <v>круг</v>
      </c>
      <c r="C410" s="7" t="str">
        <f ca="1">IFERROR(__xludf.DUMMYFUNCTION("""COMPUTED_VALUE"""),"09Х16Н4Б (ЭП56)")</f>
        <v>09Х16Н4Б (ЭП56)</v>
      </c>
      <c r="D410" s="13">
        <f ca="1">IFERROR(__xludf.DUMMYFUNCTION("""COMPUTED_VALUE"""),180)</f>
        <v>180</v>
      </c>
      <c r="E410" s="13"/>
      <c r="F410" s="14" t="str">
        <f ca="1">IFERROR(__xludf.DUMMYFUNCTION("""COMPUTED_VALUE"""),"ТУ 14-1-3564, ГОСТ 2590 , ТО, узк, 2гп без РТ")</f>
        <v>ТУ 14-1-3564, ГОСТ 2590 , ТО, узк, 2гп без РТ</v>
      </c>
      <c r="G410" s="15">
        <f ca="1">IFERROR(__xludf.DUMMYFUNCTION("""COMPUTED_VALUE"""),1.46199999999999)</f>
        <v>1.46199999999999</v>
      </c>
      <c r="H410" s="15"/>
      <c r="I410" s="16">
        <f ca="1">IFERROR(__xludf.DUMMYFUNCTION("""COMPUTED_VALUE"""),745000)</f>
        <v>745000</v>
      </c>
    </row>
    <row r="411" spans="2:9" x14ac:dyDescent="0.3">
      <c r="B411" s="12" t="str">
        <f ca="1">IFERROR(__xludf.DUMMYFUNCTION("""COMPUTED_VALUE"""),"круг")</f>
        <v>круг</v>
      </c>
      <c r="C411" s="7" t="str">
        <f ca="1">IFERROR(__xludf.DUMMYFUNCTION("""COMPUTED_VALUE"""),"09Х16Н4Б (ЭП56)")</f>
        <v>09Х16Н4Б (ЭП56)</v>
      </c>
      <c r="D411" s="13">
        <f ca="1">IFERROR(__xludf.DUMMYFUNCTION("""COMPUTED_VALUE"""),180)</f>
        <v>180</v>
      </c>
      <c r="E411" s="13"/>
      <c r="F411" s="14" t="str">
        <f ca="1">IFERROR(__xludf.DUMMYFUNCTION("""COMPUTED_VALUE"""),"ТУ 14-1-3564, ГОСТ 2590 , ТО, узк, 2гп без РТ")</f>
        <v>ТУ 14-1-3564, ГОСТ 2590 , ТО, узк, 2гп без РТ</v>
      </c>
      <c r="G411" s="15">
        <f ca="1">IFERROR(__xludf.DUMMYFUNCTION("""COMPUTED_VALUE"""),2.635)</f>
        <v>2.6349999999999998</v>
      </c>
      <c r="H411" s="15"/>
      <c r="I411" s="16">
        <f ca="1">IFERROR(__xludf.DUMMYFUNCTION("""COMPUTED_VALUE"""),745000)</f>
        <v>745000</v>
      </c>
    </row>
    <row r="412" spans="2:9" x14ac:dyDescent="0.3">
      <c r="B412" s="12" t="str">
        <f ca="1">IFERROR(__xludf.DUMMYFUNCTION("""COMPUTED_VALUE"""),"круг")</f>
        <v>круг</v>
      </c>
      <c r="C412" s="7" t="str">
        <f ca="1">IFERROR(__xludf.DUMMYFUNCTION("""COMPUTED_VALUE"""),"09Х16Н4Б (ЭП56)")</f>
        <v>09Х16Н4Б (ЭП56)</v>
      </c>
      <c r="D412" s="13">
        <f ca="1">IFERROR(__xludf.DUMMYFUNCTION("""COMPUTED_VALUE"""),190)</f>
        <v>190</v>
      </c>
      <c r="E412" s="13"/>
      <c r="F412" s="14" t="str">
        <f ca="1">IFERROR(__xludf.DUMMYFUNCTION("""COMPUTED_VALUE"""),"ТУ 14-1-3564, ГОСТ 2590 , ТО, узк, 2гп без РТ")</f>
        <v>ТУ 14-1-3564, ГОСТ 2590 , ТО, узк, 2гп без РТ</v>
      </c>
      <c r="G412" s="15">
        <f ca="1">IFERROR(__xludf.DUMMYFUNCTION("""COMPUTED_VALUE"""),0.293)</f>
        <v>0.29299999999999998</v>
      </c>
      <c r="H412" s="15"/>
      <c r="I412" s="16">
        <f ca="1">IFERROR(__xludf.DUMMYFUNCTION("""COMPUTED_VALUE"""),695000)</f>
        <v>695000</v>
      </c>
    </row>
    <row r="413" spans="2:9" x14ac:dyDescent="0.3">
      <c r="B413" s="12" t="str">
        <f ca="1">IFERROR(__xludf.DUMMYFUNCTION("""COMPUTED_VALUE"""),"круг")</f>
        <v>круг</v>
      </c>
      <c r="C413" s="7" t="str">
        <f ca="1">IFERROR(__xludf.DUMMYFUNCTION("""COMPUTED_VALUE"""),"09Х16Н4Б (ЭП56)")</f>
        <v>09Х16Н4Б (ЭП56)</v>
      </c>
      <c r="D413" s="13">
        <f ca="1">IFERROR(__xludf.DUMMYFUNCTION("""COMPUTED_VALUE"""),190)</f>
        <v>190</v>
      </c>
      <c r="E413" s="13"/>
      <c r="F413" s="14" t="str">
        <f ca="1">IFERROR(__xludf.DUMMYFUNCTION("""COMPUTED_VALUE"""),"ту14-1-3564, РТТ, УЗК,2ГП, ")</f>
        <v xml:space="preserve">ту14-1-3564, РТТ, УЗК,2ГП, </v>
      </c>
      <c r="G413" s="15">
        <f ca="1">IFERROR(__xludf.DUMMYFUNCTION("""COMPUTED_VALUE"""),0.815)</f>
        <v>0.81499999999999995</v>
      </c>
      <c r="H413" s="15"/>
      <c r="I413" s="16">
        <f ca="1">IFERROR(__xludf.DUMMYFUNCTION("""COMPUTED_VALUE"""),680000)</f>
        <v>680000</v>
      </c>
    </row>
    <row r="414" spans="2:9" x14ac:dyDescent="0.3">
      <c r="B414" s="12" t="str">
        <f ca="1">IFERROR(__xludf.DUMMYFUNCTION("""COMPUTED_VALUE"""),"круг")</f>
        <v>круг</v>
      </c>
      <c r="C414" s="7" t="str">
        <f ca="1">IFERROR(__xludf.DUMMYFUNCTION("""COMPUTED_VALUE"""),"09Х16Н4Б (ЭП56)")</f>
        <v>09Х16Н4Б (ЭП56)</v>
      </c>
      <c r="D414" s="13">
        <f ca="1">IFERROR(__xludf.DUMMYFUNCTION("""COMPUTED_VALUE"""),190)</f>
        <v>190</v>
      </c>
      <c r="E414" s="13"/>
      <c r="F414" s="14" t="str">
        <f ca="1">IFERROR(__xludf.DUMMYFUNCTION("""COMPUTED_VALUE"""),"ту14-1-3564, РТТ, УЗК,2ГП, ")</f>
        <v xml:space="preserve">ту14-1-3564, РТТ, УЗК,2ГП, </v>
      </c>
      <c r="G414" s="15">
        <f ca="1">IFERROR(__xludf.DUMMYFUNCTION("""COMPUTED_VALUE"""),0.825)</f>
        <v>0.82499999999999996</v>
      </c>
      <c r="H414" s="15"/>
      <c r="I414" s="16">
        <f ca="1">IFERROR(__xludf.DUMMYFUNCTION("""COMPUTED_VALUE"""),680000)</f>
        <v>680000</v>
      </c>
    </row>
    <row r="415" spans="2:9" x14ac:dyDescent="0.3">
      <c r="B415" s="12" t="str">
        <f ca="1">IFERROR(__xludf.DUMMYFUNCTION("""COMPUTED_VALUE"""),"круг")</f>
        <v>круг</v>
      </c>
      <c r="C415" s="7" t="str">
        <f ca="1">IFERROR(__xludf.DUMMYFUNCTION("""COMPUTED_VALUE"""),"09Х16Н4Б (ЭП56)")</f>
        <v>09Х16Н4Б (ЭП56)</v>
      </c>
      <c r="D415" s="13">
        <f ca="1">IFERROR(__xludf.DUMMYFUNCTION("""COMPUTED_VALUE"""),190)</f>
        <v>190</v>
      </c>
      <c r="E415" s="13"/>
      <c r="F415" s="14" t="str">
        <f ca="1">IFERROR(__xludf.DUMMYFUNCTION("""COMPUTED_VALUE"""),"ту14-1-3564, РТТ, УЗК,2ГП, ")</f>
        <v xml:space="preserve">ту14-1-3564, РТТ, УЗК,2ГП, </v>
      </c>
      <c r="G415" s="15">
        <f ca="1">IFERROR(__xludf.DUMMYFUNCTION("""COMPUTED_VALUE"""),1.645)</f>
        <v>1.645</v>
      </c>
      <c r="H415" s="15"/>
      <c r="I415" s="16">
        <f ca="1">IFERROR(__xludf.DUMMYFUNCTION("""COMPUTED_VALUE"""),680000)</f>
        <v>680000</v>
      </c>
    </row>
    <row r="416" spans="2:9" x14ac:dyDescent="0.3">
      <c r="B416" s="12" t="str">
        <f ca="1">IFERROR(__xludf.DUMMYFUNCTION("""COMPUTED_VALUE"""),"круг")</f>
        <v>круг</v>
      </c>
      <c r="C416" s="7" t="str">
        <f ca="1">IFERROR(__xludf.DUMMYFUNCTION("""COMPUTED_VALUE"""),"09Х16Н4Б (ЭП56)")</f>
        <v>09Х16Н4Б (ЭП56)</v>
      </c>
      <c r="D416" s="13">
        <f ca="1">IFERROR(__xludf.DUMMYFUNCTION("""COMPUTED_VALUE"""),200)</f>
        <v>200</v>
      </c>
      <c r="E416" s="13"/>
      <c r="F416" s="14" t="str">
        <f ca="1">IFERROR(__xludf.DUMMYFUNCTION("""COMPUTED_VALUE"""),"ту14-1-3564, РТТ, УЗК,2ГП, ")</f>
        <v xml:space="preserve">ту14-1-3564, РТТ, УЗК,2ГП, </v>
      </c>
      <c r="G416" s="15">
        <f ca="1">IFERROR(__xludf.DUMMYFUNCTION("""COMPUTED_VALUE"""),1.016)</f>
        <v>1.016</v>
      </c>
      <c r="H416" s="15"/>
      <c r="I416" s="16">
        <f ca="1">IFERROR(__xludf.DUMMYFUNCTION("""COMPUTED_VALUE"""),650000)</f>
        <v>650000</v>
      </c>
    </row>
    <row r="417" spans="2:9" x14ac:dyDescent="0.3">
      <c r="B417" s="12" t="str">
        <f ca="1">IFERROR(__xludf.DUMMYFUNCTION("""COMPUTED_VALUE"""),"круг")</f>
        <v>круг</v>
      </c>
      <c r="C417" s="7" t="str">
        <f ca="1">IFERROR(__xludf.DUMMYFUNCTION("""COMPUTED_VALUE"""),"09Х16Н4Б (ЭП56)")</f>
        <v>09Х16Н4Б (ЭП56)</v>
      </c>
      <c r="D417" s="13">
        <f ca="1">IFERROR(__xludf.DUMMYFUNCTION("""COMPUTED_VALUE"""),200)</f>
        <v>200</v>
      </c>
      <c r="E417" s="13"/>
      <c r="F417" s="14" t="str">
        <f ca="1">IFERROR(__xludf.DUMMYFUNCTION("""COMPUTED_VALUE"""),"ту14-1-3564, РТТ, УЗК,2ГП, ")</f>
        <v xml:space="preserve">ту14-1-3564, РТТ, УЗК,2ГП, </v>
      </c>
      <c r="G417" s="15">
        <f ca="1">IFERROR(__xludf.DUMMYFUNCTION("""COMPUTED_VALUE"""),1.04)</f>
        <v>1.04</v>
      </c>
      <c r="H417" s="15"/>
      <c r="I417" s="16">
        <f ca="1">IFERROR(__xludf.DUMMYFUNCTION("""COMPUTED_VALUE"""),650000)</f>
        <v>650000</v>
      </c>
    </row>
    <row r="418" spans="2:9" x14ac:dyDescent="0.3">
      <c r="B418" s="12" t="str">
        <f ca="1">IFERROR(__xludf.DUMMYFUNCTION("""COMPUTED_VALUE"""),"круг")</f>
        <v>круг</v>
      </c>
      <c r="C418" s="7" t="str">
        <f ca="1">IFERROR(__xludf.DUMMYFUNCTION("""COMPUTED_VALUE"""),"09Х16Н4Б (ЭП56)")</f>
        <v>09Х16Н4Б (ЭП56)</v>
      </c>
      <c r="D418" s="13">
        <f ca="1">IFERROR(__xludf.DUMMYFUNCTION("""COMPUTED_VALUE"""),200)</f>
        <v>200</v>
      </c>
      <c r="E418" s="13"/>
      <c r="F418" s="14" t="str">
        <f ca="1">IFERROR(__xludf.DUMMYFUNCTION("""COMPUTED_VALUE"""),"ту14-1-3564, РТТ, УЗК,2ГП, ")</f>
        <v xml:space="preserve">ту14-1-3564, РТТ, УЗК,2ГП, </v>
      </c>
      <c r="G418" s="15">
        <f ca="1">IFERROR(__xludf.DUMMYFUNCTION("""COMPUTED_VALUE"""),1.06)</f>
        <v>1.06</v>
      </c>
      <c r="H418" s="15"/>
      <c r="I418" s="16">
        <f ca="1">IFERROR(__xludf.DUMMYFUNCTION("""COMPUTED_VALUE"""),650000)</f>
        <v>650000</v>
      </c>
    </row>
    <row r="419" spans="2:9" x14ac:dyDescent="0.3">
      <c r="B419" s="12" t="str">
        <f ca="1">IFERROR(__xludf.DUMMYFUNCTION("""COMPUTED_VALUE"""),"круг")</f>
        <v>круг</v>
      </c>
      <c r="C419" s="7" t="str">
        <f ca="1">IFERROR(__xludf.DUMMYFUNCTION("""COMPUTED_VALUE"""),"09Х16Н4Б (ЭП56)")</f>
        <v>09Х16Н4Б (ЭП56)</v>
      </c>
      <c r="D419" s="13">
        <f ca="1">IFERROR(__xludf.DUMMYFUNCTION("""COMPUTED_VALUE"""),200)</f>
        <v>200</v>
      </c>
      <c r="E419" s="13"/>
      <c r="F419" s="14" t="str">
        <f ca="1">IFERROR(__xludf.DUMMYFUNCTION("""COMPUTED_VALUE"""),"ту14-1-3564, РТТ, УЗК,2ГП, ")</f>
        <v xml:space="preserve">ту14-1-3564, РТТ, УЗК,2ГП, </v>
      </c>
      <c r="G419" s="15">
        <f ca="1">IFERROR(__xludf.DUMMYFUNCTION("""COMPUTED_VALUE"""),1.075)</f>
        <v>1.075</v>
      </c>
      <c r="H419" s="15"/>
      <c r="I419" s="16">
        <f ca="1">IFERROR(__xludf.DUMMYFUNCTION("""COMPUTED_VALUE"""),650000)</f>
        <v>650000</v>
      </c>
    </row>
    <row r="420" spans="2:9" x14ac:dyDescent="0.3">
      <c r="B420" s="12" t="str">
        <f ca="1">IFERROR(__xludf.DUMMYFUNCTION("""COMPUTED_VALUE"""),"круг")</f>
        <v>круг</v>
      </c>
      <c r="C420" s="7" t="str">
        <f ca="1">IFERROR(__xludf.DUMMYFUNCTION("""COMPUTED_VALUE"""),"09Х16Н4Б (ЭП56)")</f>
        <v>09Х16Н4Б (ЭП56)</v>
      </c>
      <c r="D420" s="13">
        <f ca="1">IFERROR(__xludf.DUMMYFUNCTION("""COMPUTED_VALUE"""),200)</f>
        <v>200</v>
      </c>
      <c r="E420" s="13"/>
      <c r="F420" s="14" t="str">
        <f ca="1">IFERROR(__xludf.DUMMYFUNCTION("""COMPUTED_VALUE"""),"ту14-1-3564, РТТ, УЗК,2ГП, ")</f>
        <v xml:space="preserve">ту14-1-3564, РТТ, УЗК,2ГП, </v>
      </c>
      <c r="G420" s="15">
        <f ca="1">IFERROR(__xludf.DUMMYFUNCTION("""COMPUTED_VALUE"""),6.46)</f>
        <v>6.46</v>
      </c>
      <c r="H420" s="15"/>
      <c r="I420" s="16">
        <f ca="1">IFERROR(__xludf.DUMMYFUNCTION("""COMPUTED_VALUE"""),650000)</f>
        <v>650000</v>
      </c>
    </row>
    <row r="421" spans="2:9" x14ac:dyDescent="0.3">
      <c r="B421" s="12" t="str">
        <f ca="1">IFERROR(__xludf.DUMMYFUNCTION("""COMPUTED_VALUE"""),"круг")</f>
        <v>круг</v>
      </c>
      <c r="C421" s="7" t="str">
        <f ca="1">IFERROR(__xludf.DUMMYFUNCTION("""COMPUTED_VALUE"""),"09Х16Н4Б (ЭП56)")</f>
        <v>09Х16Н4Б (ЭП56)</v>
      </c>
      <c r="D421" s="13">
        <f ca="1">IFERROR(__xludf.DUMMYFUNCTION("""COMPUTED_VALUE"""),220)</f>
        <v>220</v>
      </c>
      <c r="E421" s="13"/>
      <c r="F421" s="14" t="str">
        <f ca="1">IFERROR(__xludf.DUMMYFUNCTION("""COMPUTED_VALUE"""),"ГОСТ 5632/5949 ков.ТО, узк,обточ, РТТ")</f>
        <v>ГОСТ 5632/5949 ков.ТО, узк,обточ, РТТ</v>
      </c>
      <c r="G421" s="15">
        <f ca="1">IFERROR(__xludf.DUMMYFUNCTION("""COMPUTED_VALUE"""),0.922)</f>
        <v>0.92200000000000004</v>
      </c>
      <c r="H421" s="15"/>
      <c r="I421" s="16">
        <f ca="1">IFERROR(__xludf.DUMMYFUNCTION("""COMPUTED_VALUE"""),800000)</f>
        <v>800000</v>
      </c>
    </row>
    <row r="422" spans="2:9" x14ac:dyDescent="0.3">
      <c r="B422" s="12" t="str">
        <f ca="1">IFERROR(__xludf.DUMMYFUNCTION("""COMPUTED_VALUE"""),"круг")</f>
        <v>круг</v>
      </c>
      <c r="C422" s="7" t="str">
        <f ca="1">IFERROR(__xludf.DUMMYFUNCTION("""COMPUTED_VALUE"""),"09Х16Н4Б (ЭП56)")</f>
        <v>09Х16Н4Б (ЭП56)</v>
      </c>
      <c r="D422" s="13">
        <f ca="1">IFERROR(__xludf.DUMMYFUNCTION("""COMPUTED_VALUE"""),220)</f>
        <v>220</v>
      </c>
      <c r="E422" s="13"/>
      <c r="F422" s="14" t="str">
        <f ca="1">IFERROR(__xludf.DUMMYFUNCTION("""COMPUTED_VALUE"""),"ГОСТ 5632/5949 ков.ТО, узк,обточ, РТТ")</f>
        <v>ГОСТ 5632/5949 ков.ТО, узк,обточ, РТТ</v>
      </c>
      <c r="G422" s="15">
        <f ca="1">IFERROR(__xludf.DUMMYFUNCTION("""COMPUTED_VALUE"""),1.28)</f>
        <v>1.28</v>
      </c>
      <c r="H422" s="15"/>
      <c r="I422" s="16">
        <f ca="1">IFERROR(__xludf.DUMMYFUNCTION("""COMPUTED_VALUE"""),800000)</f>
        <v>800000</v>
      </c>
    </row>
    <row r="423" spans="2:9" x14ac:dyDescent="0.3">
      <c r="B423" s="12" t="str">
        <f ca="1">IFERROR(__xludf.DUMMYFUNCTION("""COMPUTED_VALUE"""),"круг")</f>
        <v>круг</v>
      </c>
      <c r="C423" s="7" t="str">
        <f ca="1">IFERROR(__xludf.DUMMYFUNCTION("""COMPUTED_VALUE"""),"09Х16Н4Б (ЭП56)")</f>
        <v>09Х16Н4Б (ЭП56)</v>
      </c>
      <c r="D423" s="13">
        <f ca="1">IFERROR(__xludf.DUMMYFUNCTION("""COMPUTED_VALUE"""),220)</f>
        <v>220</v>
      </c>
      <c r="E423" s="13"/>
      <c r="F423" s="14" t="str">
        <f ca="1">IFERROR(__xludf.DUMMYFUNCTION("""COMPUTED_VALUE"""),"ГОСТ 5632/5949 ков.ТО, узк,обточ, РТТ")</f>
        <v>ГОСТ 5632/5949 ков.ТО, узк,обточ, РТТ</v>
      </c>
      <c r="G423" s="15">
        <f ca="1">IFERROR(__xludf.DUMMYFUNCTION("""COMPUTED_VALUE"""),1.34)</f>
        <v>1.34</v>
      </c>
      <c r="H423" s="15"/>
      <c r="I423" s="16">
        <f ca="1">IFERROR(__xludf.DUMMYFUNCTION("""COMPUTED_VALUE"""),800000)</f>
        <v>800000</v>
      </c>
    </row>
    <row r="424" spans="2:9" x14ac:dyDescent="0.3">
      <c r="B424" s="12" t="str">
        <f ca="1">IFERROR(__xludf.DUMMYFUNCTION("""COMPUTED_VALUE"""),"круг")</f>
        <v>круг</v>
      </c>
      <c r="C424" s="7" t="str">
        <f ca="1">IFERROR(__xludf.DUMMYFUNCTION("""COMPUTED_VALUE"""),"09Х16Н4Б (ЭП56)")</f>
        <v>09Х16Н4Б (ЭП56)</v>
      </c>
      <c r="D424" s="13">
        <f ca="1">IFERROR(__xludf.DUMMYFUNCTION("""COMPUTED_VALUE"""),250)</f>
        <v>250</v>
      </c>
      <c r="E424" s="13"/>
      <c r="F424" s="14" t="str">
        <f ca="1">IFERROR(__xludf.DUMMYFUNCTION("""COMPUTED_VALUE"""),"ГОСТ 5632/5949 ков.ТО, узк,обточ, РТТ")</f>
        <v>ГОСТ 5632/5949 ков.ТО, узк,обточ, РТТ</v>
      </c>
      <c r="G424" s="15">
        <f ca="1">IFERROR(__xludf.DUMMYFUNCTION("""COMPUTED_VALUE"""),0.442)</f>
        <v>0.442</v>
      </c>
      <c r="H424" s="15"/>
      <c r="I424" s="16">
        <f ca="1">IFERROR(__xludf.DUMMYFUNCTION("""COMPUTED_VALUE"""),800000)</f>
        <v>800000</v>
      </c>
    </row>
    <row r="425" spans="2:9" x14ac:dyDescent="0.3">
      <c r="B425" s="12" t="str">
        <f ca="1">IFERROR(__xludf.DUMMYFUNCTION("""COMPUTED_VALUE"""),"круг")</f>
        <v>круг</v>
      </c>
      <c r="C425" s="7" t="str">
        <f ca="1">IFERROR(__xludf.DUMMYFUNCTION("""COMPUTED_VALUE"""),"09Х16Н4Б (ЭП56)")</f>
        <v>09Х16Н4Б (ЭП56)</v>
      </c>
      <c r="D425" s="13">
        <f ca="1">IFERROR(__xludf.DUMMYFUNCTION("""COMPUTED_VALUE"""),250)</f>
        <v>250</v>
      </c>
      <c r="E425" s="13"/>
      <c r="F425" s="14" t="str">
        <f ca="1">IFERROR(__xludf.DUMMYFUNCTION("""COMPUTED_VALUE"""),"ГОСТ 5632/5949 ков.ТО, узк,обточ, РТТ")</f>
        <v>ГОСТ 5632/5949 ков.ТО, узк,обточ, РТТ</v>
      </c>
      <c r="G425" s="15">
        <f ca="1">IFERROR(__xludf.DUMMYFUNCTION("""COMPUTED_VALUE"""),1.125)</f>
        <v>1.125</v>
      </c>
      <c r="H425" s="15"/>
      <c r="I425" s="16">
        <f ca="1">IFERROR(__xludf.DUMMYFUNCTION("""COMPUTED_VALUE"""),800000)</f>
        <v>800000</v>
      </c>
    </row>
    <row r="426" spans="2:9" x14ac:dyDescent="0.3">
      <c r="B426" s="12" t="str">
        <f ca="1">IFERROR(__xludf.DUMMYFUNCTION("""COMPUTED_VALUE"""),"круг")</f>
        <v>круг</v>
      </c>
      <c r="C426" s="7" t="str">
        <f ca="1">IFERROR(__xludf.DUMMYFUNCTION("""COMPUTED_VALUE"""),"09Х16Н4Б (ЭП56)")</f>
        <v>09Х16Н4Б (ЭП56)</v>
      </c>
      <c r="D426" s="13">
        <f ca="1">IFERROR(__xludf.DUMMYFUNCTION("""COMPUTED_VALUE"""),270)</f>
        <v>270</v>
      </c>
      <c r="E426" s="13"/>
      <c r="F426" s="14" t="str">
        <f ca="1">IFERROR(__xludf.DUMMYFUNCTION("""COMPUTED_VALUE"""),"ГОСТ 5632/5949 ков.ТО, узк,обточ, РТТ")</f>
        <v>ГОСТ 5632/5949 ков.ТО, узк,обточ, РТТ</v>
      </c>
      <c r="G426" s="15">
        <f ca="1">IFERROR(__xludf.DUMMYFUNCTION("""COMPUTED_VALUE"""),0.0759999999999998)</f>
        <v>7.5999999999999804E-2</v>
      </c>
      <c r="H426" s="15"/>
      <c r="I426" s="16">
        <f ca="1">IFERROR(__xludf.DUMMYFUNCTION("""COMPUTED_VALUE"""),800000)</f>
        <v>800000</v>
      </c>
    </row>
    <row r="427" spans="2:9" x14ac:dyDescent="0.3">
      <c r="B427" s="12" t="str">
        <f ca="1">IFERROR(__xludf.DUMMYFUNCTION("""COMPUTED_VALUE"""),"круг")</f>
        <v>круг</v>
      </c>
      <c r="C427" s="7" t="str">
        <f ca="1">IFERROR(__xludf.DUMMYFUNCTION("""COMPUTED_VALUE"""),"09Х16Н4Б (ЭП56)")</f>
        <v>09Х16Н4Б (ЭП56)</v>
      </c>
      <c r="D427" s="13">
        <f ca="1">IFERROR(__xludf.DUMMYFUNCTION("""COMPUTED_VALUE"""),270)</f>
        <v>270</v>
      </c>
      <c r="E427" s="13"/>
      <c r="F427" s="14" t="str">
        <f ca="1">IFERROR(__xludf.DUMMYFUNCTION("""COMPUTED_VALUE"""),"ГОСТ 5632/5949 ков.ТО, узк,обточ, РТТ")</f>
        <v>ГОСТ 5632/5949 ков.ТО, узк,обточ, РТТ</v>
      </c>
      <c r="G427" s="15">
        <f ca="1">IFERROR(__xludf.DUMMYFUNCTION("""COMPUTED_VALUE"""),1.41)</f>
        <v>1.41</v>
      </c>
      <c r="H427" s="15"/>
      <c r="I427" s="16">
        <f ca="1">IFERROR(__xludf.DUMMYFUNCTION("""COMPUTED_VALUE"""),800000)</f>
        <v>800000</v>
      </c>
    </row>
    <row r="428" spans="2:9" x14ac:dyDescent="0.3">
      <c r="B428" s="12" t="str">
        <f ca="1">IFERROR(__xludf.DUMMYFUNCTION("""COMPUTED_VALUE"""),"круг")</f>
        <v>круг</v>
      </c>
      <c r="C428" s="7" t="str">
        <f ca="1">IFERROR(__xludf.DUMMYFUNCTION("""COMPUTED_VALUE"""),"09Х16Н4Б (ЭП56)")</f>
        <v>09Х16Н4Б (ЭП56)</v>
      </c>
      <c r="D428" s="13">
        <f ca="1">IFERROR(__xludf.DUMMYFUNCTION("""COMPUTED_VALUE"""),280)</f>
        <v>280</v>
      </c>
      <c r="E428" s="13"/>
      <c r="F428" s="14" t="str">
        <f ca="1">IFERROR(__xludf.DUMMYFUNCTION("""COMPUTED_VALUE"""),"ГОСТ 5632/5949 ков.ТО, узк,")</f>
        <v>ГОСТ 5632/5949 ков.ТО, узк,</v>
      </c>
      <c r="G428" s="15">
        <f ca="1">IFERROR(__xludf.DUMMYFUNCTION("""COMPUTED_VALUE"""),1.193)</f>
        <v>1.1930000000000001</v>
      </c>
      <c r="H428" s="15"/>
      <c r="I428" s="16">
        <f ca="1">IFERROR(__xludf.DUMMYFUNCTION("""COMPUTED_VALUE"""),800000)</f>
        <v>800000</v>
      </c>
    </row>
    <row r="429" spans="2:9" x14ac:dyDescent="0.3">
      <c r="B429" s="12" t="str">
        <f ca="1">IFERROR(__xludf.DUMMYFUNCTION("""COMPUTED_VALUE"""),"круг")</f>
        <v>круг</v>
      </c>
      <c r="C429" s="7" t="str">
        <f ca="1">IFERROR(__xludf.DUMMYFUNCTION("""COMPUTED_VALUE"""),"09Х16Н4Б (ЭП56)")</f>
        <v>09Х16Н4Б (ЭП56)</v>
      </c>
      <c r="D429" s="13">
        <f ca="1">IFERROR(__xludf.DUMMYFUNCTION("""COMPUTED_VALUE"""),280)</f>
        <v>280</v>
      </c>
      <c r="E429" s="13"/>
      <c r="F429" s="14" t="str">
        <f ca="1">IFERROR(__xludf.DUMMYFUNCTION("""COMPUTED_VALUE"""),"ГОСТ 5632/5949 ков.ТО, узк,")</f>
        <v>ГОСТ 5632/5949 ков.ТО, узк,</v>
      </c>
      <c r="G429" s="15">
        <f ca="1">IFERROR(__xludf.DUMMYFUNCTION("""COMPUTED_VALUE"""),1.685)</f>
        <v>1.6850000000000001</v>
      </c>
      <c r="H429" s="15"/>
      <c r="I429" s="16">
        <f ca="1">IFERROR(__xludf.DUMMYFUNCTION("""COMPUTED_VALUE"""),800000)</f>
        <v>800000</v>
      </c>
    </row>
    <row r="430" spans="2:9" x14ac:dyDescent="0.3">
      <c r="B430" s="12" t="str">
        <f ca="1">IFERROR(__xludf.DUMMYFUNCTION("""COMPUTED_VALUE"""),"круг")</f>
        <v>круг</v>
      </c>
      <c r="C430" s="7" t="str">
        <f ca="1">IFERROR(__xludf.DUMMYFUNCTION("""COMPUTED_VALUE"""),"09Х16Н4Б (ЭП56)")</f>
        <v>09Х16Н4Б (ЭП56)</v>
      </c>
      <c r="D430" s="13">
        <f ca="1">IFERROR(__xludf.DUMMYFUNCTION("""COMPUTED_VALUE"""),300)</f>
        <v>300</v>
      </c>
      <c r="E430" s="13"/>
      <c r="F430" s="14" t="str">
        <f ca="1">IFERROR(__xludf.DUMMYFUNCTION("""COMPUTED_VALUE"""),"ГОСТ 5632/5949 ков.ТО, узк,обточ, РТТ")</f>
        <v>ГОСТ 5632/5949 ков.ТО, узк,обточ, РТТ</v>
      </c>
      <c r="G430" s="15">
        <f ca="1">IFERROR(__xludf.DUMMYFUNCTION("""COMPUTED_VALUE"""),0.704)</f>
        <v>0.70399999999999996</v>
      </c>
      <c r="H430" s="15"/>
      <c r="I430" s="16">
        <f ca="1">IFERROR(__xludf.DUMMYFUNCTION("""COMPUTED_VALUE"""),800000)</f>
        <v>800000</v>
      </c>
    </row>
    <row r="431" spans="2:9" x14ac:dyDescent="0.3">
      <c r="B431" s="12" t="str">
        <f ca="1">IFERROR(__xludf.DUMMYFUNCTION("""COMPUTED_VALUE"""),"круг")</f>
        <v>круг</v>
      </c>
      <c r="C431" s="7" t="str">
        <f ca="1">IFERROR(__xludf.DUMMYFUNCTION("""COMPUTED_VALUE"""),"09Х16Н4Б (ЭП56)")</f>
        <v>09Х16Н4Б (ЭП56)</v>
      </c>
      <c r="D431" s="13">
        <f ca="1">IFERROR(__xludf.DUMMYFUNCTION("""COMPUTED_VALUE"""),300)</f>
        <v>300</v>
      </c>
      <c r="E431" s="13"/>
      <c r="F431" s="14" t="str">
        <f ca="1">IFERROR(__xludf.DUMMYFUNCTION("""COMPUTED_VALUE"""),"ГОСТ 5632/5949 ков.ТО, узк,обточ, РТТ")</f>
        <v>ГОСТ 5632/5949 ков.ТО, узк,обточ, РТТ</v>
      </c>
      <c r="G431" s="15">
        <f ca="1">IFERROR(__xludf.DUMMYFUNCTION("""COMPUTED_VALUE"""),2.355)</f>
        <v>2.355</v>
      </c>
      <c r="H431" s="15"/>
      <c r="I431" s="16">
        <f ca="1">IFERROR(__xludf.DUMMYFUNCTION("""COMPUTED_VALUE"""),800000)</f>
        <v>800000</v>
      </c>
    </row>
    <row r="432" spans="2:9" x14ac:dyDescent="0.3">
      <c r="B432" s="12" t="str">
        <f ca="1">IFERROR(__xludf.DUMMYFUNCTION("""COMPUTED_VALUE"""),"круг")</f>
        <v>круг</v>
      </c>
      <c r="C432" s="7" t="str">
        <f ca="1">IFERROR(__xludf.DUMMYFUNCTION("""COMPUTED_VALUE"""),"09Х16Н4Б (ЭП56)")</f>
        <v>09Х16Н4Б (ЭП56)</v>
      </c>
      <c r="D432" s="13">
        <f ca="1">IFERROR(__xludf.DUMMYFUNCTION("""COMPUTED_VALUE"""),320)</f>
        <v>320</v>
      </c>
      <c r="E432" s="13"/>
      <c r="F432" s="14" t="str">
        <f ca="1">IFERROR(__xludf.DUMMYFUNCTION("""COMPUTED_VALUE"""),"ГОСТ 5632/5949 ков.ТО, узк,")</f>
        <v>ГОСТ 5632/5949 ков.ТО, узк,</v>
      </c>
      <c r="G432" s="15">
        <f ca="1">IFERROR(__xludf.DUMMYFUNCTION("""COMPUTED_VALUE"""),2.584)</f>
        <v>2.5840000000000001</v>
      </c>
      <c r="H432" s="15"/>
      <c r="I432" s="16">
        <f ca="1">IFERROR(__xludf.DUMMYFUNCTION("""COMPUTED_VALUE"""),880000)</f>
        <v>880000</v>
      </c>
    </row>
    <row r="433" spans="2:9" x14ac:dyDescent="0.3">
      <c r="B433" s="12" t="str">
        <f ca="1">IFERROR(__xludf.DUMMYFUNCTION("""COMPUTED_VALUE"""),"круг")</f>
        <v>круг</v>
      </c>
      <c r="C433" s="7" t="str">
        <f ca="1">IFERROR(__xludf.DUMMYFUNCTION("""COMPUTED_VALUE"""),"09Х16Н4Б (ЭП56)")</f>
        <v>09Х16Н4Б (ЭП56)</v>
      </c>
      <c r="D433" s="13">
        <f ca="1">IFERROR(__xludf.DUMMYFUNCTION("""COMPUTED_VALUE"""),350)</f>
        <v>350</v>
      </c>
      <c r="E433" s="13"/>
      <c r="F433" s="14" t="str">
        <f ca="1">IFERROR(__xludf.DUMMYFUNCTION("""COMPUTED_VALUE"""),"ГОСТ 5632/5949 ков.ТО, узк,")</f>
        <v>ГОСТ 5632/5949 ков.ТО, узк,</v>
      </c>
      <c r="G433" s="15">
        <f ca="1">IFERROR(__xludf.DUMMYFUNCTION("""COMPUTED_VALUE"""),1.46199999999999)</f>
        <v>1.46199999999999</v>
      </c>
      <c r="H433" s="15"/>
      <c r="I433" s="16">
        <f ca="1">IFERROR(__xludf.DUMMYFUNCTION("""COMPUTED_VALUE"""),880000)</f>
        <v>880000</v>
      </c>
    </row>
    <row r="434" spans="2:9" x14ac:dyDescent="0.3">
      <c r="B434" s="12" t="str">
        <f ca="1">IFERROR(__xludf.DUMMYFUNCTION("""COMPUTED_VALUE"""),"круг")</f>
        <v>круг</v>
      </c>
      <c r="C434" s="7" t="str">
        <f ca="1">IFERROR(__xludf.DUMMYFUNCTION("""COMPUTED_VALUE"""),"09Х16Н4Б (ЭП56)")</f>
        <v>09Х16Н4Б (ЭП56)</v>
      </c>
      <c r="D434" s="13">
        <f ca="1">IFERROR(__xludf.DUMMYFUNCTION("""COMPUTED_VALUE"""),380)</f>
        <v>380</v>
      </c>
      <c r="E434" s="13"/>
      <c r="F434" s="14" t="str">
        <f ca="1">IFERROR(__xludf.DUMMYFUNCTION("""COMPUTED_VALUE"""),"ГОСТ 5632/5949 ков.ТО, узк,")</f>
        <v>ГОСТ 5632/5949 ков.ТО, узк,</v>
      </c>
      <c r="G434" s="15">
        <f ca="1">IFERROR(__xludf.DUMMYFUNCTION("""COMPUTED_VALUE"""),0.508999999999999)</f>
        <v>0.50899999999999901</v>
      </c>
      <c r="H434" s="15"/>
      <c r="I434" s="16">
        <f ca="1">IFERROR(__xludf.DUMMYFUNCTION("""COMPUTED_VALUE"""),860000)</f>
        <v>860000</v>
      </c>
    </row>
    <row r="435" spans="2:9" x14ac:dyDescent="0.3">
      <c r="B435" s="12" t="str">
        <f ca="1">IFERROR(__xludf.DUMMYFUNCTION("""COMPUTED_VALUE"""),"круг")</f>
        <v>круг</v>
      </c>
      <c r="C435" s="7" t="str">
        <f ca="1">IFERROR(__xludf.DUMMYFUNCTION("""COMPUTED_VALUE"""),"09Х16Н4Б (ЭП56)")</f>
        <v>09Х16Н4Б (ЭП56)</v>
      </c>
      <c r="D435" s="13">
        <f ca="1">IFERROR(__xludf.DUMMYFUNCTION("""COMPUTED_VALUE"""),380)</f>
        <v>380</v>
      </c>
      <c r="E435" s="13"/>
      <c r="F435" s="14" t="str">
        <f ca="1">IFERROR(__xludf.DUMMYFUNCTION("""COMPUTED_VALUE"""),"ГОСТ 5632/5949 ков.ТО, узк,")</f>
        <v>ГОСТ 5632/5949 ков.ТО, узк,</v>
      </c>
      <c r="G435" s="15">
        <f ca="1">IFERROR(__xludf.DUMMYFUNCTION("""COMPUTED_VALUE"""),3.365)</f>
        <v>3.3650000000000002</v>
      </c>
      <c r="H435" s="15"/>
      <c r="I435" s="16">
        <f ca="1">IFERROR(__xludf.DUMMYFUNCTION("""COMPUTED_VALUE"""),800000)</f>
        <v>800000</v>
      </c>
    </row>
    <row r="436" spans="2:9" x14ac:dyDescent="0.3">
      <c r="B436" s="12" t="str">
        <f ca="1">IFERROR(__xludf.DUMMYFUNCTION("""COMPUTED_VALUE"""),"круг")</f>
        <v>круг</v>
      </c>
      <c r="C436" s="7" t="str">
        <f ca="1">IFERROR(__xludf.DUMMYFUNCTION("""COMPUTED_VALUE"""),"09Х16Н4Б (ЭП56)")</f>
        <v>09Х16Н4Б (ЭП56)</v>
      </c>
      <c r="D436" s="13">
        <f ca="1">IFERROR(__xludf.DUMMYFUNCTION("""COMPUTED_VALUE"""),380)</f>
        <v>380</v>
      </c>
      <c r="E436" s="13"/>
      <c r="F436" s="14" t="str">
        <f ca="1">IFERROR(__xludf.DUMMYFUNCTION("""COMPUTED_VALUE"""),"ГОСТ 5632/5949 ков.ТО, узк,")</f>
        <v>ГОСТ 5632/5949 ков.ТО, узк,</v>
      </c>
      <c r="G436" s="15">
        <f ca="1">IFERROR(__xludf.DUMMYFUNCTION("""COMPUTED_VALUE"""),1.78)</f>
        <v>1.78</v>
      </c>
      <c r="H436" s="15"/>
      <c r="I436" s="16">
        <f ca="1">IFERROR(__xludf.DUMMYFUNCTION("""COMPUTED_VALUE"""),800000)</f>
        <v>800000</v>
      </c>
    </row>
    <row r="437" spans="2:9" x14ac:dyDescent="0.3">
      <c r="B437" s="12" t="str">
        <f ca="1">IFERROR(__xludf.DUMMYFUNCTION("""COMPUTED_VALUE"""),"круг")</f>
        <v>круг</v>
      </c>
      <c r="C437" s="7" t="str">
        <f ca="1">IFERROR(__xludf.DUMMYFUNCTION("""COMPUTED_VALUE"""),"09Х16Н4Б (ЭП56)")</f>
        <v>09Х16Н4Б (ЭП56)</v>
      </c>
      <c r="D437" s="13">
        <f ca="1">IFERROR(__xludf.DUMMYFUNCTION("""COMPUTED_VALUE"""),400)</f>
        <v>400</v>
      </c>
      <c r="E437" s="13"/>
      <c r="F437" s="14" t="str">
        <f ca="1">IFERROR(__xludf.DUMMYFUNCTION("""COMPUTED_VALUE"""),"ГОСТ 5632/5949 ков.ТО, узк,")</f>
        <v>ГОСТ 5632/5949 ков.ТО, узк,</v>
      </c>
      <c r="G437" s="15">
        <f ca="1">IFERROR(__xludf.DUMMYFUNCTION("""COMPUTED_VALUE"""),0.095)</f>
        <v>9.5000000000000001E-2</v>
      </c>
      <c r="H437" s="15"/>
      <c r="I437" s="16">
        <f ca="1">IFERROR(__xludf.DUMMYFUNCTION("""COMPUTED_VALUE"""),880000)</f>
        <v>880000</v>
      </c>
    </row>
    <row r="438" spans="2:9" x14ac:dyDescent="0.3">
      <c r="B438" s="12" t="str">
        <f ca="1">IFERROR(__xludf.DUMMYFUNCTION("""COMPUTED_VALUE"""),"круг")</f>
        <v>круг</v>
      </c>
      <c r="C438" s="7" t="str">
        <f ca="1">IFERROR(__xludf.DUMMYFUNCTION("""COMPUTED_VALUE"""),"09Х16Н4Б (ЭП56)")</f>
        <v>09Х16Н4Б (ЭП56)</v>
      </c>
      <c r="D438" s="13">
        <f ca="1">IFERROR(__xludf.DUMMYFUNCTION("""COMPUTED_VALUE"""),400)</f>
        <v>400</v>
      </c>
      <c r="E438" s="13"/>
      <c r="F438" s="14" t="str">
        <f ca="1">IFERROR(__xludf.DUMMYFUNCTION("""COMPUTED_VALUE"""),"ГОСТ 5632 ков.ТО.")</f>
        <v>ГОСТ 5632 ков.ТО.</v>
      </c>
      <c r="G438" s="15">
        <f ca="1">IFERROR(__xludf.DUMMYFUNCTION("""COMPUTED_VALUE"""),0.871)</f>
        <v>0.871</v>
      </c>
      <c r="H438" s="15"/>
      <c r="I438" s="16">
        <f ca="1">IFERROR(__xludf.DUMMYFUNCTION("""COMPUTED_VALUE"""),880000)</f>
        <v>880000</v>
      </c>
    </row>
    <row r="439" spans="2:9" x14ac:dyDescent="0.3">
      <c r="B439" s="12" t="str">
        <f ca="1">IFERROR(__xludf.DUMMYFUNCTION("""COMPUTED_VALUE"""),"круг")</f>
        <v>круг</v>
      </c>
      <c r="C439" s="7" t="str">
        <f ca="1">IFERROR(__xludf.DUMMYFUNCTION("""COMPUTED_VALUE"""),"09Х16Н4Б (ЭП56)")</f>
        <v>09Х16Н4Б (ЭП56)</v>
      </c>
      <c r="D439" s="13">
        <f ca="1">IFERROR(__xludf.DUMMYFUNCTION("""COMPUTED_VALUE"""),400)</f>
        <v>400</v>
      </c>
      <c r="E439" s="13"/>
      <c r="F439" s="14" t="str">
        <f ca="1">IFERROR(__xludf.DUMMYFUNCTION("""COMPUTED_VALUE"""),"ГОСТ 5632/5949 ков.ТО, узк,")</f>
        <v>ГОСТ 5632/5949 ков.ТО, узк,</v>
      </c>
      <c r="G439" s="15">
        <f ca="1">IFERROR(__xludf.DUMMYFUNCTION("""COMPUTED_VALUE"""),3.08)</f>
        <v>3.08</v>
      </c>
      <c r="H439" s="15"/>
      <c r="I439" s="16">
        <f ca="1">IFERROR(__xludf.DUMMYFUNCTION("""COMPUTED_VALUE"""),880000)</f>
        <v>880000</v>
      </c>
    </row>
    <row r="440" spans="2:9" x14ac:dyDescent="0.3">
      <c r="B440" s="12" t="str">
        <f ca="1">IFERROR(__xludf.DUMMYFUNCTION("""COMPUTED_VALUE"""),"круг")</f>
        <v>круг</v>
      </c>
      <c r="C440" s="7" t="str">
        <f ca="1">IFERROR(__xludf.DUMMYFUNCTION("""COMPUTED_VALUE"""),"09Х16Н4Б (ЭП56)")</f>
        <v>09Х16Н4Б (ЭП56)</v>
      </c>
      <c r="D440" s="13">
        <f ca="1">IFERROR(__xludf.DUMMYFUNCTION("""COMPUTED_VALUE"""),400)</f>
        <v>400</v>
      </c>
      <c r="E440" s="13"/>
      <c r="F440" s="14" t="str">
        <f ca="1">IFERROR(__xludf.DUMMYFUNCTION("""COMPUTED_VALUE"""),"ГОСТ 5632/5949 ков.ТО")</f>
        <v>ГОСТ 5632/5949 ков.ТО</v>
      </c>
      <c r="G440" s="15">
        <f ca="1">IFERROR(__xludf.DUMMYFUNCTION("""COMPUTED_VALUE"""),2.555)</f>
        <v>2.5550000000000002</v>
      </c>
      <c r="H440" s="15"/>
      <c r="I440" s="16">
        <f ca="1">IFERROR(__xludf.DUMMYFUNCTION("""COMPUTED_VALUE"""),880000)</f>
        <v>880000</v>
      </c>
    </row>
    <row r="441" spans="2:9" x14ac:dyDescent="0.3">
      <c r="B441" s="12" t="str">
        <f ca="1">IFERROR(__xludf.DUMMYFUNCTION("""COMPUTED_VALUE"""),"круг")</f>
        <v>круг</v>
      </c>
      <c r="C441" s="7" t="str">
        <f ca="1">IFERROR(__xludf.DUMMYFUNCTION("""COMPUTED_VALUE"""),"09Х16Н4Б (ЭП56)")</f>
        <v>09Х16Н4Б (ЭП56)</v>
      </c>
      <c r="D441" s="13">
        <f ca="1">IFERROR(__xludf.DUMMYFUNCTION("""COMPUTED_VALUE"""),420)</f>
        <v>420</v>
      </c>
      <c r="E441" s="13"/>
      <c r="F441" s="14" t="str">
        <f ca="1">IFERROR(__xludf.DUMMYFUNCTION("""COMPUTED_VALUE"""),"ГОСТ 5632/5949 ков.ТО, узк,")</f>
        <v>ГОСТ 5632/5949 ков.ТО, узк,</v>
      </c>
      <c r="G441" s="15">
        <f ca="1">IFERROR(__xludf.DUMMYFUNCTION("""COMPUTED_VALUE"""),2.747)</f>
        <v>2.7469999999999999</v>
      </c>
      <c r="H441" s="15"/>
      <c r="I441" s="16">
        <f ca="1">IFERROR(__xludf.DUMMYFUNCTION("""COMPUTED_VALUE"""),860000)</f>
        <v>860000</v>
      </c>
    </row>
    <row r="442" spans="2:9" x14ac:dyDescent="0.3">
      <c r="B442" s="12" t="str">
        <f ca="1">IFERROR(__xludf.DUMMYFUNCTION("""COMPUTED_VALUE"""),"круг")</f>
        <v>круг</v>
      </c>
      <c r="C442" s="7" t="str">
        <f ca="1">IFERROR(__xludf.DUMMYFUNCTION("""COMPUTED_VALUE"""),"09Х16Н4Б (ЭП56)")</f>
        <v>09Х16Н4Б (ЭП56)</v>
      </c>
      <c r="D442" s="13">
        <f ca="1">IFERROR(__xludf.DUMMYFUNCTION("""COMPUTED_VALUE"""),450)</f>
        <v>450</v>
      </c>
      <c r="E442" s="13"/>
      <c r="F442" s="14" t="str">
        <f ca="1">IFERROR(__xludf.DUMMYFUNCTION("""COMPUTED_VALUE"""),"ГОСТ 5632/5949 ков.ТО, узк,")</f>
        <v>ГОСТ 5632/5949 ков.ТО, узк,</v>
      </c>
      <c r="G442" s="15">
        <f ca="1">IFERROR(__xludf.DUMMYFUNCTION("""COMPUTED_VALUE"""),3.29299999999999)</f>
        <v>3.2929999999999899</v>
      </c>
      <c r="H442" s="15"/>
      <c r="I442" s="16">
        <f ca="1">IFERROR(__xludf.DUMMYFUNCTION("""COMPUTED_VALUE"""),860000)</f>
        <v>860000</v>
      </c>
    </row>
    <row r="443" spans="2:9" x14ac:dyDescent="0.3">
      <c r="B443" s="12" t="str">
        <f ca="1">IFERROR(__xludf.DUMMYFUNCTION("""COMPUTED_VALUE"""),"круг")</f>
        <v>круг</v>
      </c>
      <c r="C443" s="7" t="str">
        <f ca="1">IFERROR(__xludf.DUMMYFUNCTION("""COMPUTED_VALUE"""),"09Х16Н4Б (ЭП56)")</f>
        <v>09Х16Н4Б (ЭП56)</v>
      </c>
      <c r="D443" s="13">
        <f ca="1">IFERROR(__xludf.DUMMYFUNCTION("""COMPUTED_VALUE"""),480)</f>
        <v>480</v>
      </c>
      <c r="E443" s="13"/>
      <c r="F443" s="14" t="str">
        <f ca="1">IFERROR(__xludf.DUMMYFUNCTION("""COMPUTED_VALUE"""),"ГОСТ 5632/5949 ков.ТО, узк,обточ, РТТ")</f>
        <v>ГОСТ 5632/5949 ков.ТО, узк,обточ, РТТ</v>
      </c>
      <c r="G443" s="15">
        <f ca="1">IFERROR(__xludf.DUMMYFUNCTION("""COMPUTED_VALUE"""),4.265)</f>
        <v>4.2649999999999997</v>
      </c>
      <c r="H443" s="15"/>
      <c r="I443" s="16">
        <f ca="1">IFERROR(__xludf.DUMMYFUNCTION("""COMPUTED_VALUE"""),800000)</f>
        <v>800000</v>
      </c>
    </row>
    <row r="444" spans="2:9" x14ac:dyDescent="0.3">
      <c r="B444" s="12" t="str">
        <f ca="1">IFERROR(__xludf.DUMMYFUNCTION("""COMPUTED_VALUE"""),"круг")</f>
        <v>круг</v>
      </c>
      <c r="C444" s="7" t="str">
        <f ca="1">IFERROR(__xludf.DUMMYFUNCTION("""COMPUTED_VALUE"""),"09Х16Н4Б (ЭП56)")</f>
        <v>09Х16Н4Б (ЭП56)</v>
      </c>
      <c r="D444" s="13">
        <f ca="1">IFERROR(__xludf.DUMMYFUNCTION("""COMPUTED_VALUE"""),500)</f>
        <v>500</v>
      </c>
      <c r="E444" s="13"/>
      <c r="F444" s="14" t="str">
        <f ca="1">IFERROR(__xludf.DUMMYFUNCTION("""COMPUTED_VALUE"""),"ГОСТ 5632/5949 ков.ТО, узк,")</f>
        <v>ГОСТ 5632/5949 ков.ТО, узк,</v>
      </c>
      <c r="G444" s="15">
        <f ca="1">IFERROR(__xludf.DUMMYFUNCTION("""COMPUTED_VALUE"""),0.0919999999999996)</f>
        <v>9.1999999999999596E-2</v>
      </c>
      <c r="H444" s="15"/>
      <c r="I444" s="16">
        <f ca="1">IFERROR(__xludf.DUMMYFUNCTION("""COMPUTED_VALUE"""),860000)</f>
        <v>860000</v>
      </c>
    </row>
    <row r="445" spans="2:9" x14ac:dyDescent="0.3">
      <c r="B445" s="12" t="str">
        <f ca="1">IFERROR(__xludf.DUMMYFUNCTION("""COMPUTED_VALUE"""),"круг")</f>
        <v>круг</v>
      </c>
      <c r="C445" s="7" t="str">
        <f ca="1">IFERROR(__xludf.DUMMYFUNCTION("""COMPUTED_VALUE"""),"09Х16Н4Б (ЭП56)")</f>
        <v>09Х16Н4Б (ЭП56)</v>
      </c>
      <c r="D445" s="13">
        <f ca="1">IFERROR(__xludf.DUMMYFUNCTION("""COMPUTED_VALUE"""),500)</f>
        <v>500</v>
      </c>
      <c r="E445" s="13"/>
      <c r="F445" s="14" t="str">
        <f ca="1">IFERROR(__xludf.DUMMYFUNCTION("""COMPUTED_VALUE"""),"ГОСТ 5632/5949 ков.ТО, узк,")</f>
        <v>ГОСТ 5632/5949 ков.ТО, узк,</v>
      </c>
      <c r="G445" s="15">
        <f ca="1">IFERROR(__xludf.DUMMYFUNCTION("""COMPUTED_VALUE"""),3.798)</f>
        <v>3.798</v>
      </c>
      <c r="H445" s="15"/>
      <c r="I445" s="16">
        <f ca="1">IFERROR(__xludf.DUMMYFUNCTION("""COMPUTED_VALUE"""),800000)</f>
        <v>800000</v>
      </c>
    </row>
    <row r="446" spans="2:9" x14ac:dyDescent="0.3">
      <c r="B446" s="12" t="str">
        <f ca="1">IFERROR(__xludf.DUMMYFUNCTION("""COMPUTED_VALUE"""),"круг")</f>
        <v>круг</v>
      </c>
      <c r="C446" s="7" t="str">
        <f ca="1">IFERROR(__xludf.DUMMYFUNCTION("""COMPUTED_VALUE"""),"10Х17Н13М2Т")</f>
        <v>10Х17Н13М2Т</v>
      </c>
      <c r="D446" s="13">
        <f ca="1">IFERROR(__xludf.DUMMYFUNCTION("""COMPUTED_VALUE"""),20)</f>
        <v>20</v>
      </c>
      <c r="E446" s="13"/>
      <c r="F446" s="14" t="str">
        <f ca="1">IFERROR(__xludf.DUMMYFUNCTION("""COMPUTED_VALUE"""),"гост 5949/2590 без обточки")</f>
        <v>гост 5949/2590 без обточки</v>
      </c>
      <c r="G446" s="15">
        <f ca="1">IFERROR(__xludf.DUMMYFUNCTION("""COMPUTED_VALUE"""),0.0329999999999998)</f>
        <v>3.29999999999998E-2</v>
      </c>
      <c r="H446" s="15"/>
      <c r="I446" s="16">
        <f ca="1">IFERROR(__xludf.DUMMYFUNCTION("""COMPUTED_VALUE"""),1000000)</f>
        <v>1000000</v>
      </c>
    </row>
    <row r="447" spans="2:9" x14ac:dyDescent="0.3">
      <c r="B447" s="12" t="str">
        <f ca="1">IFERROR(__xludf.DUMMYFUNCTION("""COMPUTED_VALUE"""),"круг")</f>
        <v>круг</v>
      </c>
      <c r="C447" s="7" t="str">
        <f ca="1">IFERROR(__xludf.DUMMYFUNCTION("""COMPUTED_VALUE"""),"10Х17Н13М2Т")</f>
        <v>10Х17Н13М2Т</v>
      </c>
      <c r="D447" s="13">
        <f ca="1">IFERROR(__xludf.DUMMYFUNCTION("""COMPUTED_VALUE"""),20)</f>
        <v>20</v>
      </c>
      <c r="E447" s="13"/>
      <c r="F447" s="14" t="str">
        <f ca="1">IFERROR(__xludf.DUMMYFUNCTION("""COMPUTED_VALUE"""),"гост 5949/2590 узк")</f>
        <v>гост 5949/2590 узк</v>
      </c>
      <c r="G447" s="15">
        <f ca="1">IFERROR(__xludf.DUMMYFUNCTION("""COMPUTED_VALUE"""),0.208)</f>
        <v>0.20799999999999999</v>
      </c>
      <c r="H447" s="15"/>
      <c r="I447" s="16">
        <f ca="1">IFERROR(__xludf.DUMMYFUNCTION("""COMPUTED_VALUE"""),1000000)</f>
        <v>1000000</v>
      </c>
    </row>
    <row r="448" spans="2:9" x14ac:dyDescent="0.3">
      <c r="B448" s="12" t="str">
        <f ca="1">IFERROR(__xludf.DUMMYFUNCTION("""COMPUTED_VALUE"""),"круг")</f>
        <v>круг</v>
      </c>
      <c r="C448" s="7" t="str">
        <f ca="1">IFERROR(__xludf.DUMMYFUNCTION("""COMPUTED_VALUE"""),"10Х17Н13М2Т")</f>
        <v>10Х17Н13М2Т</v>
      </c>
      <c r="D448" s="13">
        <f ca="1">IFERROR(__xludf.DUMMYFUNCTION("""COMPUTED_VALUE"""),20)</f>
        <v>20</v>
      </c>
      <c r="E448" s="13"/>
      <c r="F448" s="14" t="str">
        <f ca="1">IFERROR(__xludf.DUMMYFUNCTION("""COMPUTED_VALUE"""),"гост 5949/2590 узк")</f>
        <v>гост 5949/2590 узк</v>
      </c>
      <c r="G448" s="15">
        <f ca="1">IFERROR(__xludf.DUMMYFUNCTION("""COMPUTED_VALUE"""),0.658)</f>
        <v>0.65800000000000003</v>
      </c>
      <c r="H448" s="15"/>
      <c r="I448" s="16">
        <f ca="1">IFERROR(__xludf.DUMMYFUNCTION("""COMPUTED_VALUE"""),1000000)</f>
        <v>1000000</v>
      </c>
    </row>
    <row r="449" spans="2:9" x14ac:dyDescent="0.3">
      <c r="B449" s="12" t="str">
        <f ca="1">IFERROR(__xludf.DUMMYFUNCTION("""COMPUTED_VALUE"""),"круг")</f>
        <v>круг</v>
      </c>
      <c r="C449" s="7" t="str">
        <f ca="1">IFERROR(__xludf.DUMMYFUNCTION("""COMPUTED_VALUE"""),"10Х17Н13М2Т")</f>
        <v>10Х17Н13М2Т</v>
      </c>
      <c r="D449" s="13">
        <f ca="1">IFERROR(__xludf.DUMMYFUNCTION("""COMPUTED_VALUE"""),25)</f>
        <v>25</v>
      </c>
      <c r="E449" s="13"/>
      <c r="F449" s="14"/>
      <c r="G449" s="15">
        <f ca="1">IFERROR(__xludf.DUMMYFUNCTION("""COMPUTED_VALUE"""),0.39)</f>
        <v>0.39</v>
      </c>
      <c r="H449" s="15"/>
      <c r="I449" s="16">
        <f ca="1">IFERROR(__xludf.DUMMYFUNCTION("""COMPUTED_VALUE"""),1000000)</f>
        <v>1000000</v>
      </c>
    </row>
    <row r="450" spans="2:9" x14ac:dyDescent="0.3">
      <c r="B450" s="12" t="str">
        <f ca="1">IFERROR(__xludf.DUMMYFUNCTION("""COMPUTED_VALUE"""),"круг")</f>
        <v>круг</v>
      </c>
      <c r="C450" s="7" t="str">
        <f ca="1">IFERROR(__xludf.DUMMYFUNCTION("""COMPUTED_VALUE"""),"10Х17Н13М2Т")</f>
        <v>10Х17Н13М2Т</v>
      </c>
      <c r="D450" s="13">
        <f ca="1">IFERROR(__xludf.DUMMYFUNCTION("""COMPUTED_VALUE"""),25)</f>
        <v>25</v>
      </c>
      <c r="E450" s="13"/>
      <c r="F450" s="14" t="str">
        <f ca="1">IFERROR(__xludf.DUMMYFUNCTION("""COMPUTED_VALUE"""),"гост 5949/2590 узк")</f>
        <v>гост 5949/2590 узк</v>
      </c>
      <c r="G450" s="15">
        <f ca="1">IFERROR(__xludf.DUMMYFUNCTION("""COMPUTED_VALUE"""),1.016)</f>
        <v>1.016</v>
      </c>
      <c r="H450" s="15"/>
      <c r="I450" s="16">
        <f ca="1">IFERROR(__xludf.DUMMYFUNCTION("""COMPUTED_VALUE"""),1000000)</f>
        <v>1000000</v>
      </c>
    </row>
    <row r="451" spans="2:9" x14ac:dyDescent="0.3">
      <c r="B451" s="12" t="str">
        <f ca="1">IFERROR(__xludf.DUMMYFUNCTION("""COMPUTED_VALUE"""),"круг")</f>
        <v>круг</v>
      </c>
      <c r="C451" s="7" t="str">
        <f ca="1">IFERROR(__xludf.DUMMYFUNCTION("""COMPUTED_VALUE"""),"10Х17Н13М2Т")</f>
        <v>10Х17Н13М2Т</v>
      </c>
      <c r="D451" s="13">
        <f ca="1">IFERROR(__xludf.DUMMYFUNCTION("""COMPUTED_VALUE"""),30)</f>
        <v>30</v>
      </c>
      <c r="E451" s="13"/>
      <c r="F451" s="14" t="str">
        <f ca="1">IFERROR(__xludf.DUMMYFUNCTION("""COMPUTED_VALUE"""),"гост 5949/2590 2гп, НД, УЗК МКК")</f>
        <v>гост 5949/2590 2гп, НД, УЗК МКК</v>
      </c>
      <c r="G451" s="15">
        <f ca="1">IFERROR(__xludf.DUMMYFUNCTION("""COMPUTED_VALUE"""),0.884999999999999)</f>
        <v>0.88499999999999901</v>
      </c>
      <c r="H451" s="15"/>
      <c r="I451" s="16">
        <f ca="1">IFERROR(__xludf.DUMMYFUNCTION("""COMPUTED_VALUE"""),880000)</f>
        <v>880000</v>
      </c>
    </row>
    <row r="452" spans="2:9" x14ac:dyDescent="0.3">
      <c r="B452" s="12" t="str">
        <f ca="1">IFERROR(__xludf.DUMMYFUNCTION("""COMPUTED_VALUE"""),"круг")</f>
        <v>круг</v>
      </c>
      <c r="C452" s="7" t="str">
        <f ca="1">IFERROR(__xludf.DUMMYFUNCTION("""COMPUTED_VALUE"""),"10Х17Н13М2Т")</f>
        <v>10Х17Н13М2Т</v>
      </c>
      <c r="D452" s="13">
        <f ca="1">IFERROR(__xludf.DUMMYFUNCTION("""COMPUTED_VALUE"""),36)</f>
        <v>36</v>
      </c>
      <c r="E452" s="13"/>
      <c r="F452" s="14" t="str">
        <f ca="1">IFERROR(__xludf.DUMMYFUNCTION("""COMPUTED_VALUE"""),"гост 5949/2590 узк")</f>
        <v>гост 5949/2590 узк</v>
      </c>
      <c r="G452" s="15">
        <f ca="1">IFERROR(__xludf.DUMMYFUNCTION("""COMPUTED_VALUE"""),0.443999999999999)</f>
        <v>0.44399999999999901</v>
      </c>
      <c r="H452" s="15"/>
      <c r="I452" s="16">
        <f ca="1">IFERROR(__xludf.DUMMYFUNCTION("""COMPUTED_VALUE"""),800000)</f>
        <v>800000</v>
      </c>
    </row>
    <row r="453" spans="2:9" x14ac:dyDescent="0.3">
      <c r="B453" s="12" t="str">
        <f ca="1">IFERROR(__xludf.DUMMYFUNCTION("""COMPUTED_VALUE"""),"круг")</f>
        <v>круг</v>
      </c>
      <c r="C453" s="7" t="str">
        <f ca="1">IFERROR(__xludf.DUMMYFUNCTION("""COMPUTED_VALUE"""),"10Х17Н13М2Т")</f>
        <v>10Х17Н13М2Т</v>
      </c>
      <c r="D453" s="13">
        <f ca="1">IFERROR(__xludf.DUMMYFUNCTION("""COMPUTED_VALUE"""),36)</f>
        <v>36</v>
      </c>
      <c r="E453" s="13"/>
      <c r="F453" s="14" t="str">
        <f ca="1">IFERROR(__xludf.DUMMYFUNCTION("""COMPUTED_VALUE""")," ")</f>
        <v xml:space="preserve"> </v>
      </c>
      <c r="G453" s="15">
        <f ca="1">IFERROR(__xludf.DUMMYFUNCTION("""COMPUTED_VALUE"""),0.618)</f>
        <v>0.61799999999999999</v>
      </c>
      <c r="H453" s="15"/>
      <c r="I453" s="16">
        <f ca="1">IFERROR(__xludf.DUMMYFUNCTION("""COMPUTED_VALUE"""),800000)</f>
        <v>800000</v>
      </c>
    </row>
    <row r="454" spans="2:9" x14ac:dyDescent="0.3">
      <c r="B454" s="12" t="str">
        <f ca="1">IFERROR(__xludf.DUMMYFUNCTION("""COMPUTED_VALUE"""),"круг")</f>
        <v>круг</v>
      </c>
      <c r="C454" s="7" t="str">
        <f ca="1">IFERROR(__xludf.DUMMYFUNCTION("""COMPUTED_VALUE"""),"10Х17Н13М2Т")</f>
        <v>10Х17Н13М2Т</v>
      </c>
      <c r="D454" s="13">
        <f ca="1">IFERROR(__xludf.DUMMYFUNCTION("""COMPUTED_VALUE"""),40)</f>
        <v>40</v>
      </c>
      <c r="E454" s="13"/>
      <c r="F454" s="14" t="str">
        <f ca="1">IFERROR(__xludf.DUMMYFUNCTION("""COMPUTED_VALUE"""),"гост 5949/2590 узк")</f>
        <v>гост 5949/2590 узк</v>
      </c>
      <c r="G454" s="15">
        <f ca="1">IFERROR(__xludf.DUMMYFUNCTION("""COMPUTED_VALUE"""),0.093)</f>
        <v>9.2999999999999999E-2</v>
      </c>
      <c r="H454" s="15"/>
      <c r="I454" s="16">
        <f ca="1">IFERROR(__xludf.DUMMYFUNCTION("""COMPUTED_VALUE"""),800000)</f>
        <v>800000</v>
      </c>
    </row>
    <row r="455" spans="2:9" x14ac:dyDescent="0.3">
      <c r="B455" s="12" t="str">
        <f ca="1">IFERROR(__xludf.DUMMYFUNCTION("""COMPUTED_VALUE"""),"круг")</f>
        <v>круг</v>
      </c>
      <c r="C455" s="7" t="str">
        <f ca="1">IFERROR(__xludf.DUMMYFUNCTION("""COMPUTED_VALUE"""),"10Х17Н13М2Т")</f>
        <v>10Х17Н13М2Т</v>
      </c>
      <c r="D455" s="13">
        <f ca="1">IFERROR(__xludf.DUMMYFUNCTION("""COMPUTED_VALUE"""),40)</f>
        <v>40</v>
      </c>
      <c r="E455" s="13"/>
      <c r="F455" s="14" t="str">
        <f ca="1">IFERROR(__xludf.DUMMYFUNCTION("""COMPUTED_VALUE"""),"гост 5949/2590 узк")</f>
        <v>гост 5949/2590 узк</v>
      </c>
      <c r="G455" s="15">
        <f ca="1">IFERROR(__xludf.DUMMYFUNCTION("""COMPUTED_VALUE"""),0.170999999999999)</f>
        <v>0.17099999999999899</v>
      </c>
      <c r="H455" s="15"/>
      <c r="I455" s="16">
        <f ca="1">IFERROR(__xludf.DUMMYFUNCTION("""COMPUTED_VALUE"""),800000)</f>
        <v>800000</v>
      </c>
    </row>
    <row r="456" spans="2:9" x14ac:dyDescent="0.3">
      <c r="B456" s="12" t="str">
        <f ca="1">IFERROR(__xludf.DUMMYFUNCTION("""COMPUTED_VALUE"""),"круг")</f>
        <v>круг</v>
      </c>
      <c r="C456" s="7" t="str">
        <f ca="1">IFERROR(__xludf.DUMMYFUNCTION("""COMPUTED_VALUE"""),"10Х17Н13М2Т")</f>
        <v>10Х17Н13М2Т</v>
      </c>
      <c r="D456" s="13">
        <f ca="1">IFERROR(__xludf.DUMMYFUNCTION("""COMPUTED_VALUE"""),40)</f>
        <v>40</v>
      </c>
      <c r="E456" s="13"/>
      <c r="F456" s="14" t="str">
        <f ca="1">IFERROR(__xludf.DUMMYFUNCTION("""COMPUTED_VALUE"""),"гост 5949/2590 узк")</f>
        <v>гост 5949/2590 узк</v>
      </c>
      <c r="G456" s="15">
        <f ca="1">IFERROR(__xludf.DUMMYFUNCTION("""COMPUTED_VALUE"""),2.188)</f>
        <v>2.1880000000000002</v>
      </c>
      <c r="H456" s="15"/>
      <c r="I456" s="16">
        <f ca="1">IFERROR(__xludf.DUMMYFUNCTION("""COMPUTED_VALUE"""),800000)</f>
        <v>800000</v>
      </c>
    </row>
    <row r="457" spans="2:9" x14ac:dyDescent="0.3">
      <c r="B457" s="12" t="str">
        <f ca="1">IFERROR(__xludf.DUMMYFUNCTION("""COMPUTED_VALUE"""),"круг")</f>
        <v>круг</v>
      </c>
      <c r="C457" s="7" t="str">
        <f ca="1">IFERROR(__xludf.DUMMYFUNCTION("""COMPUTED_VALUE"""),"10Х17Н13М2Т")</f>
        <v>10Х17Н13М2Т</v>
      </c>
      <c r="D457" s="13">
        <f ca="1">IFERROR(__xludf.DUMMYFUNCTION("""COMPUTED_VALUE"""),45)</f>
        <v>45</v>
      </c>
      <c r="E457" s="13"/>
      <c r="F457" s="14" t="str">
        <f ca="1">IFERROR(__xludf.DUMMYFUNCTION("""COMPUTED_VALUE"""),"гост 5949/2590 2гп, НД, УЗК МКК")</f>
        <v>гост 5949/2590 2гп, НД, УЗК МКК</v>
      </c>
      <c r="G457" s="15">
        <f ca="1">IFERROR(__xludf.DUMMYFUNCTION("""COMPUTED_VALUE"""),1.569)</f>
        <v>1.569</v>
      </c>
      <c r="H457" s="15"/>
      <c r="I457" s="16">
        <f ca="1">IFERROR(__xludf.DUMMYFUNCTION("""COMPUTED_VALUE"""),880000)</f>
        <v>880000</v>
      </c>
    </row>
    <row r="458" spans="2:9" x14ac:dyDescent="0.3">
      <c r="B458" s="12" t="str">
        <f ca="1">IFERROR(__xludf.DUMMYFUNCTION("""COMPUTED_VALUE"""),"круг")</f>
        <v>круг</v>
      </c>
      <c r="C458" s="7" t="str">
        <f ca="1">IFERROR(__xludf.DUMMYFUNCTION("""COMPUTED_VALUE"""),"10Х17Н13М2Т")</f>
        <v>10Х17Н13М2Т</v>
      </c>
      <c r="D458" s="13">
        <f ca="1">IFERROR(__xludf.DUMMYFUNCTION("""COMPUTED_VALUE"""),45)</f>
        <v>45</v>
      </c>
      <c r="E458" s="13"/>
      <c r="F458" s="14" t="str">
        <f ca="1">IFERROR(__xludf.DUMMYFUNCTION("""COMPUTED_VALUE"""),"гост 5949/2590 2гп, НД, УЗК МКК")</f>
        <v>гост 5949/2590 2гп, НД, УЗК МКК</v>
      </c>
      <c r="G458" s="15">
        <f ca="1">IFERROR(__xludf.DUMMYFUNCTION("""COMPUTED_VALUE"""),0.268)</f>
        <v>0.26800000000000002</v>
      </c>
      <c r="H458" s="15"/>
      <c r="I458" s="16">
        <f ca="1">IFERROR(__xludf.DUMMYFUNCTION("""COMPUTED_VALUE"""),880000)</f>
        <v>880000</v>
      </c>
    </row>
    <row r="459" spans="2:9" x14ac:dyDescent="0.3">
      <c r="B459" s="12" t="str">
        <f ca="1">IFERROR(__xludf.DUMMYFUNCTION("""COMPUTED_VALUE"""),"круг")</f>
        <v>круг</v>
      </c>
      <c r="C459" s="7" t="str">
        <f ca="1">IFERROR(__xludf.DUMMYFUNCTION("""COMPUTED_VALUE"""),"10Х17Н13М2Т")</f>
        <v>10Х17Н13М2Т</v>
      </c>
      <c r="D459" s="13">
        <f ca="1">IFERROR(__xludf.DUMMYFUNCTION("""COMPUTED_VALUE"""),50)</f>
        <v>50</v>
      </c>
      <c r="E459" s="13"/>
      <c r="F459" s="14" t="str">
        <f ca="1">IFERROR(__xludf.DUMMYFUNCTION("""COMPUTED_VALUE"""),"гост 5949/2590 2гп")</f>
        <v>гост 5949/2590 2гп</v>
      </c>
      <c r="G459" s="15">
        <f ca="1">IFERROR(__xludf.DUMMYFUNCTION("""COMPUTED_VALUE"""),0.613)</f>
        <v>0.61299999999999999</v>
      </c>
      <c r="H459" s="15"/>
      <c r="I459" s="16">
        <f ca="1">IFERROR(__xludf.DUMMYFUNCTION("""COMPUTED_VALUE"""),880000)</f>
        <v>880000</v>
      </c>
    </row>
    <row r="460" spans="2:9" x14ac:dyDescent="0.3">
      <c r="B460" s="12" t="str">
        <f ca="1">IFERROR(__xludf.DUMMYFUNCTION("""COMPUTED_VALUE"""),"круг")</f>
        <v>круг</v>
      </c>
      <c r="C460" s="7" t="str">
        <f ca="1">IFERROR(__xludf.DUMMYFUNCTION("""COMPUTED_VALUE"""),"10Х17Н13М2Т")</f>
        <v>10Х17Н13М2Т</v>
      </c>
      <c r="D460" s="13">
        <f ca="1">IFERROR(__xludf.DUMMYFUNCTION("""COMPUTED_VALUE"""),60)</f>
        <v>60</v>
      </c>
      <c r="E460" s="13"/>
      <c r="F460" s="14" t="str">
        <f ca="1">IFERROR(__xludf.DUMMYFUNCTION("""COMPUTED_VALUE"""),"гост 5949/2590 без обточки")</f>
        <v>гост 5949/2590 без обточки</v>
      </c>
      <c r="G460" s="15">
        <f ca="1">IFERROR(__xludf.DUMMYFUNCTION("""COMPUTED_VALUE"""),0.683)</f>
        <v>0.68300000000000005</v>
      </c>
      <c r="H460" s="15"/>
      <c r="I460" s="16">
        <f ca="1">IFERROR(__xludf.DUMMYFUNCTION("""COMPUTED_VALUE"""),925000)</f>
        <v>925000</v>
      </c>
    </row>
    <row r="461" spans="2:9" x14ac:dyDescent="0.3">
      <c r="B461" s="12" t="str">
        <f ca="1">IFERROR(__xludf.DUMMYFUNCTION("""COMPUTED_VALUE"""),"круг")</f>
        <v>круг</v>
      </c>
      <c r="C461" s="7" t="str">
        <f ca="1">IFERROR(__xludf.DUMMYFUNCTION("""COMPUTED_VALUE"""),"10Х17Н13М2Т")</f>
        <v>10Х17Н13М2Т</v>
      </c>
      <c r="D461" s="13">
        <f ca="1">IFERROR(__xludf.DUMMYFUNCTION("""COMPUTED_VALUE"""),65)</f>
        <v>65</v>
      </c>
      <c r="E461" s="13"/>
      <c r="F461" s="14" t="str">
        <f ca="1">IFERROR(__xludf.DUMMYFUNCTION("""COMPUTED_VALUE"""),"гост 5949/2590, 2ГП, обт.")</f>
        <v>гост 5949/2590, 2ГП, обт.</v>
      </c>
      <c r="G461" s="15">
        <f ca="1">IFERROR(__xludf.DUMMYFUNCTION("""COMPUTED_VALUE"""),0.171999999999999)</f>
        <v>0.17199999999999899</v>
      </c>
      <c r="H461" s="15"/>
      <c r="I461" s="16">
        <f ca="1">IFERROR(__xludf.DUMMYFUNCTION("""COMPUTED_VALUE"""),880000)</f>
        <v>880000</v>
      </c>
    </row>
    <row r="462" spans="2:9" x14ac:dyDescent="0.3">
      <c r="B462" s="12" t="str">
        <f ca="1">IFERROR(__xludf.DUMMYFUNCTION("""COMPUTED_VALUE"""),"круг")</f>
        <v>круг</v>
      </c>
      <c r="C462" s="7" t="str">
        <f ca="1">IFERROR(__xludf.DUMMYFUNCTION("""COMPUTED_VALUE"""),"10Х17Н13М2Т")</f>
        <v>10Х17Н13М2Т</v>
      </c>
      <c r="D462" s="13">
        <f ca="1">IFERROR(__xludf.DUMMYFUNCTION("""COMPUTED_VALUE"""),65)</f>
        <v>65</v>
      </c>
      <c r="E462" s="13"/>
      <c r="F462" s="14" t="str">
        <f ca="1">IFERROR(__xludf.DUMMYFUNCTION("""COMPUTED_VALUE"""),"гост 5949/2590, РТ-Тех")</f>
        <v>гост 5949/2590, РТ-Тех</v>
      </c>
      <c r="G462" s="15">
        <f ca="1">IFERROR(__xludf.DUMMYFUNCTION("""COMPUTED_VALUE"""),1.68899999999999)</f>
        <v>1.6889999999999901</v>
      </c>
      <c r="H462" s="15"/>
      <c r="I462" s="16">
        <f ca="1">IFERROR(__xludf.DUMMYFUNCTION("""COMPUTED_VALUE"""),925000)</f>
        <v>925000</v>
      </c>
    </row>
    <row r="463" spans="2:9" x14ac:dyDescent="0.3">
      <c r="B463" s="12" t="str">
        <f ca="1">IFERROR(__xludf.DUMMYFUNCTION("""COMPUTED_VALUE"""),"круг")</f>
        <v>круг</v>
      </c>
      <c r="C463" s="7" t="str">
        <f ca="1">IFERROR(__xludf.DUMMYFUNCTION("""COMPUTED_VALUE"""),"10Х17Н13М2Т")</f>
        <v>10Х17Н13М2Т</v>
      </c>
      <c r="D463" s="13">
        <f ca="1">IFERROR(__xludf.DUMMYFUNCTION("""COMPUTED_VALUE"""),70)</f>
        <v>70</v>
      </c>
      <c r="E463" s="13"/>
      <c r="F463" s="14" t="str">
        <f ca="1">IFERROR(__xludf.DUMMYFUNCTION("""COMPUTED_VALUE"""),"2ГП , УЗК, МКК, ОБТ")</f>
        <v>2ГП , УЗК, МКК, ОБТ</v>
      </c>
      <c r="G463" s="15">
        <f ca="1">IFERROR(__xludf.DUMMYFUNCTION("""COMPUTED_VALUE"""),2.614)</f>
        <v>2.6139999999999999</v>
      </c>
      <c r="H463" s="15"/>
      <c r="I463" s="16">
        <f ca="1">IFERROR(__xludf.DUMMYFUNCTION("""COMPUTED_VALUE"""),705000)</f>
        <v>705000</v>
      </c>
    </row>
    <row r="464" spans="2:9" x14ac:dyDescent="0.3">
      <c r="B464" s="12" t="str">
        <f ca="1">IFERROR(__xludf.DUMMYFUNCTION("""COMPUTED_VALUE"""),"круг")</f>
        <v>круг</v>
      </c>
      <c r="C464" s="7" t="str">
        <f ca="1">IFERROR(__xludf.DUMMYFUNCTION("""COMPUTED_VALUE"""),"10Х17Н13М2Т")</f>
        <v>10Х17Н13М2Т</v>
      </c>
      <c r="D464" s="13">
        <f ca="1">IFERROR(__xludf.DUMMYFUNCTION("""COMPUTED_VALUE"""),80)</f>
        <v>80</v>
      </c>
      <c r="E464" s="13"/>
      <c r="F464" s="14" t="str">
        <f ca="1">IFERROR(__xludf.DUMMYFUNCTION("""COMPUTED_VALUE"""),"гост 5949/2590, 2ГП, обт.")</f>
        <v>гост 5949/2590, 2ГП, обт.</v>
      </c>
      <c r="G464" s="15">
        <f ca="1">IFERROR(__xludf.DUMMYFUNCTION("""COMPUTED_VALUE"""),0.313)</f>
        <v>0.313</v>
      </c>
      <c r="H464" s="15"/>
      <c r="I464" s="16">
        <f ca="1">IFERROR(__xludf.DUMMYFUNCTION("""COMPUTED_VALUE"""),700000)</f>
        <v>700000</v>
      </c>
    </row>
    <row r="465" spans="2:9" x14ac:dyDescent="0.3">
      <c r="B465" s="12" t="str">
        <f ca="1">IFERROR(__xludf.DUMMYFUNCTION("""COMPUTED_VALUE"""),"круг")</f>
        <v>круг</v>
      </c>
      <c r="C465" s="7" t="str">
        <f ca="1">IFERROR(__xludf.DUMMYFUNCTION("""COMPUTED_VALUE"""),"10Х17Н13М2Т")</f>
        <v>10Х17Н13М2Т</v>
      </c>
      <c r="D465" s="13">
        <f ca="1">IFERROR(__xludf.DUMMYFUNCTION("""COMPUTED_VALUE"""),80)</f>
        <v>80</v>
      </c>
      <c r="E465" s="13"/>
      <c r="F465" s="14" t="str">
        <f ca="1">IFERROR(__xludf.DUMMYFUNCTION("""COMPUTED_VALUE"""),"гост 5949/2590 узк")</f>
        <v>гост 5949/2590 узк</v>
      </c>
      <c r="G465" s="15">
        <f ca="1">IFERROR(__xludf.DUMMYFUNCTION("""COMPUTED_VALUE"""),1.534)</f>
        <v>1.534</v>
      </c>
      <c r="H465" s="15"/>
      <c r="I465" s="16">
        <f ca="1">IFERROR(__xludf.DUMMYFUNCTION("""COMPUTED_VALUE"""),800000)</f>
        <v>800000</v>
      </c>
    </row>
    <row r="466" spans="2:9" x14ac:dyDescent="0.3">
      <c r="B466" s="12" t="str">
        <f ca="1">IFERROR(__xludf.DUMMYFUNCTION("""COMPUTED_VALUE"""),"круг")</f>
        <v>круг</v>
      </c>
      <c r="C466" s="7" t="str">
        <f ca="1">IFERROR(__xludf.DUMMYFUNCTION("""COMPUTED_VALUE"""),"10Х17Н13М2Т")</f>
        <v>10Х17Н13М2Т</v>
      </c>
      <c r="D466" s="13">
        <f ca="1">IFERROR(__xludf.DUMMYFUNCTION("""COMPUTED_VALUE"""),90)</f>
        <v>90</v>
      </c>
      <c r="E466" s="13"/>
      <c r="F466" s="14" t="str">
        <f ca="1">IFERROR(__xludf.DUMMYFUNCTION("""COMPUTED_VALUE"""),"2ГП , УЗК, МКК, ОБТ")</f>
        <v>2ГП , УЗК, МКК, ОБТ</v>
      </c>
      <c r="G466" s="15">
        <f ca="1">IFERROR(__xludf.DUMMYFUNCTION("""COMPUTED_VALUE"""),2.81)</f>
        <v>2.81</v>
      </c>
      <c r="H466" s="15"/>
      <c r="I466" s="16">
        <f ca="1">IFERROR(__xludf.DUMMYFUNCTION("""COMPUTED_VALUE"""),705000)</f>
        <v>705000</v>
      </c>
    </row>
    <row r="467" spans="2:9" x14ac:dyDescent="0.3">
      <c r="B467" s="12" t="str">
        <f ca="1">IFERROR(__xludf.DUMMYFUNCTION("""COMPUTED_VALUE"""),"круг")</f>
        <v>круг</v>
      </c>
      <c r="C467" s="7" t="str">
        <f ca="1">IFERROR(__xludf.DUMMYFUNCTION("""COMPUTED_VALUE"""),"10Х17Н13М2Т")</f>
        <v>10Х17Н13М2Т</v>
      </c>
      <c r="D467" s="13">
        <f ca="1">IFERROR(__xludf.DUMMYFUNCTION("""COMPUTED_VALUE"""),90)</f>
        <v>90</v>
      </c>
      <c r="E467" s="13"/>
      <c r="F467" s="14" t="str">
        <f ca="1">IFERROR(__xludf.DUMMYFUNCTION("""COMPUTED_VALUE"""),"3гп, узк МКК")</f>
        <v>3гп, узк МКК</v>
      </c>
      <c r="G467" s="15">
        <f ca="1">IFERROR(__xludf.DUMMYFUNCTION("""COMPUTED_VALUE"""),0.038)</f>
        <v>3.7999999999999999E-2</v>
      </c>
      <c r="H467" s="15"/>
      <c r="I467" s="16">
        <f ca="1">IFERROR(__xludf.DUMMYFUNCTION("""COMPUTED_VALUE"""),835000)</f>
        <v>835000</v>
      </c>
    </row>
    <row r="468" spans="2:9" x14ac:dyDescent="0.3">
      <c r="B468" s="12" t="str">
        <f ca="1">IFERROR(__xludf.DUMMYFUNCTION("""COMPUTED_VALUE"""),"круг")</f>
        <v>круг</v>
      </c>
      <c r="C468" s="7" t="str">
        <f ca="1">IFERROR(__xludf.DUMMYFUNCTION("""COMPUTED_VALUE"""),"10Х17Н13М2Т")</f>
        <v>10Х17Н13М2Т</v>
      </c>
      <c r="D468" s="13">
        <f ca="1">IFERROR(__xludf.DUMMYFUNCTION("""COMPUTED_VALUE"""),100)</f>
        <v>100</v>
      </c>
      <c r="E468" s="13"/>
      <c r="F468" s="14" t="str">
        <f ca="1">IFERROR(__xludf.DUMMYFUNCTION("""COMPUTED_VALUE"""),"гост 5949/2590 2гп, НД, УЗК МКК")</f>
        <v>гост 5949/2590 2гп, НД, УЗК МКК</v>
      </c>
      <c r="G468" s="15">
        <f ca="1">IFERROR(__xludf.DUMMYFUNCTION("""COMPUTED_VALUE"""),1.17099999999999)</f>
        <v>1.17099999999999</v>
      </c>
      <c r="H468" s="15"/>
      <c r="I468" s="16">
        <f ca="1">IFERROR(__xludf.DUMMYFUNCTION("""COMPUTED_VALUE"""),880000)</f>
        <v>880000</v>
      </c>
    </row>
    <row r="469" spans="2:9" x14ac:dyDescent="0.3">
      <c r="B469" s="12" t="str">
        <f ca="1">IFERROR(__xludf.DUMMYFUNCTION("""COMPUTED_VALUE"""),"круг")</f>
        <v>круг</v>
      </c>
      <c r="C469" s="7" t="str">
        <f ca="1">IFERROR(__xludf.DUMMYFUNCTION("""COMPUTED_VALUE"""),"10Х17Н13М2Т")</f>
        <v>10Х17Н13М2Т</v>
      </c>
      <c r="D469" s="13">
        <f ca="1">IFERROR(__xludf.DUMMYFUNCTION("""COMPUTED_VALUE"""),100)</f>
        <v>100</v>
      </c>
      <c r="E469" s="13"/>
      <c r="F469" s="14" t="str">
        <f ca="1">IFERROR(__xludf.DUMMYFUNCTION("""COMPUTED_VALUE"""),"2ГП , УЗК, МКК, ОБТ")</f>
        <v>2ГП , УЗК, МКК, ОБТ</v>
      </c>
      <c r="G469" s="15">
        <f ca="1">IFERROR(__xludf.DUMMYFUNCTION("""COMPUTED_VALUE"""),2.155)</f>
        <v>2.1549999999999998</v>
      </c>
      <c r="H469" s="15"/>
      <c r="I469" s="16">
        <f ca="1">IFERROR(__xludf.DUMMYFUNCTION("""COMPUTED_VALUE"""),705000)</f>
        <v>705000</v>
      </c>
    </row>
    <row r="470" spans="2:9" x14ac:dyDescent="0.3">
      <c r="B470" s="12" t="str">
        <f ca="1">IFERROR(__xludf.DUMMYFUNCTION("""COMPUTED_VALUE"""),"круг")</f>
        <v>круг</v>
      </c>
      <c r="C470" s="7" t="str">
        <f ca="1">IFERROR(__xludf.DUMMYFUNCTION("""COMPUTED_VALUE"""),"10Х17Н13М2Т")</f>
        <v>10Х17Н13М2Т</v>
      </c>
      <c r="D470" s="13">
        <f ca="1">IFERROR(__xludf.DUMMYFUNCTION("""COMPUTED_VALUE"""),110)</f>
        <v>110</v>
      </c>
      <c r="E470" s="13"/>
      <c r="F470" s="14" t="str">
        <f ca="1">IFERROR(__xludf.DUMMYFUNCTION("""COMPUTED_VALUE"""),"3гп, узк МКК")</f>
        <v>3гп, узк МКК</v>
      </c>
      <c r="G470" s="15">
        <f ca="1">IFERROR(__xludf.DUMMYFUNCTION("""COMPUTED_VALUE"""),0.71)</f>
        <v>0.71</v>
      </c>
      <c r="H470" s="15"/>
      <c r="I470" s="16">
        <f ca="1">IFERROR(__xludf.DUMMYFUNCTION("""COMPUTED_VALUE"""),790000)</f>
        <v>790000</v>
      </c>
    </row>
    <row r="471" spans="2:9" x14ac:dyDescent="0.3">
      <c r="B471" s="12" t="str">
        <f ca="1">IFERROR(__xludf.DUMMYFUNCTION("""COMPUTED_VALUE"""),"круг")</f>
        <v>круг</v>
      </c>
      <c r="C471" s="7" t="str">
        <f ca="1">IFERROR(__xludf.DUMMYFUNCTION("""COMPUTED_VALUE"""),"10Х17Н13М2Т")</f>
        <v>10Х17Н13М2Т</v>
      </c>
      <c r="D471" s="13">
        <f ca="1">IFERROR(__xludf.DUMMYFUNCTION("""COMPUTED_VALUE"""),110)</f>
        <v>110</v>
      </c>
      <c r="E471" s="13"/>
      <c r="F471" s="14" t="str">
        <f ca="1">IFERROR(__xludf.DUMMYFUNCTION("""COMPUTED_VALUE"""),"2ГП , УЗК, МКК, ОБТ")</f>
        <v>2ГП , УЗК, МКК, ОБТ</v>
      </c>
      <c r="G471" s="15">
        <f ca="1">IFERROR(__xludf.DUMMYFUNCTION("""COMPUTED_VALUE"""),2.407)</f>
        <v>2.407</v>
      </c>
      <c r="H471" s="15"/>
      <c r="I471" s="16">
        <f ca="1">IFERROR(__xludf.DUMMYFUNCTION("""COMPUTED_VALUE"""),705000)</f>
        <v>705000</v>
      </c>
    </row>
    <row r="472" spans="2:9" x14ac:dyDescent="0.3">
      <c r="B472" s="12" t="str">
        <f ca="1">IFERROR(__xludf.DUMMYFUNCTION("""COMPUTED_VALUE"""),"круг")</f>
        <v>круг</v>
      </c>
      <c r="C472" s="7" t="str">
        <f ca="1">IFERROR(__xludf.DUMMYFUNCTION("""COMPUTED_VALUE"""),"10Х17Н13М2Т")</f>
        <v>10Х17Н13М2Т</v>
      </c>
      <c r="D472" s="13">
        <f ca="1">IFERROR(__xludf.DUMMYFUNCTION("""COMPUTED_VALUE"""),120)</f>
        <v>120</v>
      </c>
      <c r="E472" s="13"/>
      <c r="F472" s="14" t="str">
        <f ca="1">IFERROR(__xludf.DUMMYFUNCTION("""COMPUTED_VALUE"""),"3гп, узк МКК")</f>
        <v>3гп, узк МКК</v>
      </c>
      <c r="G472" s="15">
        <f ca="1">IFERROR(__xludf.DUMMYFUNCTION("""COMPUTED_VALUE"""),0.305)</f>
        <v>0.30499999999999999</v>
      </c>
      <c r="H472" s="15"/>
      <c r="I472" s="16">
        <f ca="1">IFERROR(__xludf.DUMMYFUNCTION("""COMPUTED_VALUE"""),790000)</f>
        <v>790000</v>
      </c>
    </row>
    <row r="473" spans="2:9" x14ac:dyDescent="0.3">
      <c r="B473" s="12" t="str">
        <f ca="1">IFERROR(__xludf.DUMMYFUNCTION("""COMPUTED_VALUE"""),"круг")</f>
        <v>круг</v>
      </c>
      <c r="C473" s="7" t="str">
        <f ca="1">IFERROR(__xludf.DUMMYFUNCTION("""COMPUTED_VALUE"""),"10Х17Н13М2Т")</f>
        <v>10Х17Н13М2Т</v>
      </c>
      <c r="D473" s="13">
        <f ca="1">IFERROR(__xludf.DUMMYFUNCTION("""COMPUTED_VALUE"""),120)</f>
        <v>120</v>
      </c>
      <c r="E473" s="13"/>
      <c r="F473" s="14" t="str">
        <f ca="1">IFERROR(__xludf.DUMMYFUNCTION("""COMPUTED_VALUE"""),"2ГП , УЗК, МКК, ОБТ")</f>
        <v>2ГП , УЗК, МКК, ОБТ</v>
      </c>
      <c r="G473" s="15">
        <f ca="1">IFERROR(__xludf.DUMMYFUNCTION("""COMPUTED_VALUE"""),1.216)</f>
        <v>1.216</v>
      </c>
      <c r="H473" s="15"/>
      <c r="I473" s="16">
        <f ca="1">IFERROR(__xludf.DUMMYFUNCTION("""COMPUTED_VALUE"""),705000)</f>
        <v>705000</v>
      </c>
    </row>
    <row r="474" spans="2:9" x14ac:dyDescent="0.3">
      <c r="B474" s="12" t="str">
        <f ca="1">IFERROR(__xludf.DUMMYFUNCTION("""COMPUTED_VALUE"""),"круг")</f>
        <v>круг</v>
      </c>
      <c r="C474" s="7" t="str">
        <f ca="1">IFERROR(__xludf.DUMMYFUNCTION("""COMPUTED_VALUE"""),"10Х17Н13М2Т")</f>
        <v>10Х17Н13М2Т</v>
      </c>
      <c r="D474" s="13">
        <f ca="1">IFERROR(__xludf.DUMMYFUNCTION("""COMPUTED_VALUE"""),130)</f>
        <v>130</v>
      </c>
      <c r="E474" s="13"/>
      <c r="F474" s="14" t="str">
        <f ca="1">IFERROR(__xludf.DUMMYFUNCTION("""COMPUTED_VALUE"""),"  гост 5949/2590")</f>
        <v xml:space="preserve">  гост 5949/2590</v>
      </c>
      <c r="G474" s="15">
        <f ca="1">IFERROR(__xludf.DUMMYFUNCTION("""COMPUTED_VALUE"""),0.353)</f>
        <v>0.35299999999999998</v>
      </c>
      <c r="H474" s="15"/>
      <c r="I474" s="16">
        <f ca="1">IFERROR(__xludf.DUMMYFUNCTION("""COMPUTED_VALUE"""),950000)</f>
        <v>950000</v>
      </c>
    </row>
    <row r="475" spans="2:9" x14ac:dyDescent="0.3">
      <c r="B475" s="12" t="str">
        <f ca="1">IFERROR(__xludf.DUMMYFUNCTION("""COMPUTED_VALUE"""),"круг")</f>
        <v>круг</v>
      </c>
      <c r="C475" s="7" t="str">
        <f ca="1">IFERROR(__xludf.DUMMYFUNCTION("""COMPUTED_VALUE"""),"10Х17Н13М2Т")</f>
        <v>10Х17Н13М2Т</v>
      </c>
      <c r="D475" s="13">
        <f ca="1">IFERROR(__xludf.DUMMYFUNCTION("""COMPUTED_VALUE"""),130)</f>
        <v>130</v>
      </c>
      <c r="E475" s="13"/>
      <c r="F475" s="14" t="str">
        <f ca="1">IFERROR(__xludf.DUMMYFUNCTION("""COMPUTED_VALUE"""),"  3 шт  приход МС")</f>
        <v xml:space="preserve">  3 шт  приход МС</v>
      </c>
      <c r="G475" s="15">
        <f ca="1">IFERROR(__xludf.DUMMYFUNCTION("""COMPUTED_VALUE"""),1.539)</f>
        <v>1.5389999999999999</v>
      </c>
      <c r="H475" s="15"/>
      <c r="I475" s="16">
        <f ca="1">IFERROR(__xludf.DUMMYFUNCTION("""COMPUTED_VALUE"""),950000)</f>
        <v>950000</v>
      </c>
    </row>
    <row r="476" spans="2:9" x14ac:dyDescent="0.3">
      <c r="B476" s="12" t="str">
        <f ca="1">IFERROR(__xludf.DUMMYFUNCTION("""COMPUTED_VALUE"""),"круг")</f>
        <v>круг</v>
      </c>
      <c r="C476" s="7" t="str">
        <f ca="1">IFERROR(__xludf.DUMMYFUNCTION("""COMPUTED_VALUE"""),"10Х17Н13М2Т")</f>
        <v>10Х17Н13М2Т</v>
      </c>
      <c r="D476" s="13">
        <f ca="1">IFERROR(__xludf.DUMMYFUNCTION("""COMPUTED_VALUE"""),140)</f>
        <v>140</v>
      </c>
      <c r="E476" s="13"/>
      <c r="F476" s="14" t="str">
        <f ca="1">IFERROR(__xludf.DUMMYFUNCTION("""COMPUTED_VALUE"""),"гост 5949/2590 ")</f>
        <v xml:space="preserve">гост 5949/2590 </v>
      </c>
      <c r="G476" s="15">
        <f ca="1">IFERROR(__xludf.DUMMYFUNCTION("""COMPUTED_VALUE"""),1.686)</f>
        <v>1.6859999999999999</v>
      </c>
      <c r="H476" s="15"/>
      <c r="I476" s="16">
        <f ca="1">IFERROR(__xludf.DUMMYFUNCTION("""COMPUTED_VALUE"""),950000)</f>
        <v>950000</v>
      </c>
    </row>
    <row r="477" spans="2:9" x14ac:dyDescent="0.3">
      <c r="B477" s="12" t="str">
        <f ca="1">IFERROR(__xludf.DUMMYFUNCTION("""COMPUTED_VALUE"""),"круг")</f>
        <v>круг</v>
      </c>
      <c r="C477" s="7" t="str">
        <f ca="1">IFERROR(__xludf.DUMMYFUNCTION("""COMPUTED_VALUE"""),"10Х17Н13М2Т")</f>
        <v>10Х17Н13М2Т</v>
      </c>
      <c r="D477" s="13">
        <f ca="1">IFERROR(__xludf.DUMMYFUNCTION("""COMPUTED_VALUE"""),160)</f>
        <v>160</v>
      </c>
      <c r="E477" s="13"/>
      <c r="F477" s="14" t="str">
        <f ca="1">IFERROR(__xludf.DUMMYFUNCTION("""COMPUTED_VALUE"""),"гост 5949/2590 2гп, НД, УЗК МКК")</f>
        <v>гост 5949/2590 2гп, НД, УЗК МКК</v>
      </c>
      <c r="G477" s="15">
        <f ca="1">IFERROR(__xludf.DUMMYFUNCTION("""COMPUTED_VALUE"""),0.0959999999999998)</f>
        <v>9.5999999999999794E-2</v>
      </c>
      <c r="H477" s="15"/>
      <c r="I477" s="16">
        <f ca="1">IFERROR(__xludf.DUMMYFUNCTION("""COMPUTED_VALUE"""),950000)</f>
        <v>950000</v>
      </c>
    </row>
    <row r="478" spans="2:9" x14ac:dyDescent="0.3">
      <c r="B478" s="12" t="str">
        <f ca="1">IFERROR(__xludf.DUMMYFUNCTION("""COMPUTED_VALUE"""),"круг")</f>
        <v>круг</v>
      </c>
      <c r="C478" s="7" t="str">
        <f ca="1">IFERROR(__xludf.DUMMYFUNCTION("""COMPUTED_VALUE"""),"10Х17Н13М2Т")</f>
        <v>10Х17Н13М2Т</v>
      </c>
      <c r="D478" s="13">
        <f ca="1">IFERROR(__xludf.DUMMYFUNCTION("""COMPUTED_VALUE"""),160)</f>
        <v>160</v>
      </c>
      <c r="E478" s="13"/>
      <c r="F478" s="14" t="str">
        <f ca="1">IFERROR(__xludf.DUMMYFUNCTION("""COMPUTED_VALUE"""),"гост 5949/2590 2гп, НД, УЗК МКК")</f>
        <v>гост 5949/2590 2гп, НД, УЗК МКК</v>
      </c>
      <c r="G478" s="15">
        <f ca="1">IFERROR(__xludf.DUMMYFUNCTION("""COMPUTED_VALUE"""),0.98)</f>
        <v>0.98</v>
      </c>
      <c r="H478" s="15"/>
      <c r="I478" s="16">
        <f ca="1">IFERROR(__xludf.DUMMYFUNCTION("""COMPUTED_VALUE"""),950000)</f>
        <v>950000</v>
      </c>
    </row>
    <row r="479" spans="2:9" x14ac:dyDescent="0.3">
      <c r="B479" s="12" t="str">
        <f ca="1">IFERROR(__xludf.DUMMYFUNCTION("""COMPUTED_VALUE"""),"круг")</f>
        <v>круг</v>
      </c>
      <c r="C479" s="7" t="str">
        <f ca="1">IFERROR(__xludf.DUMMYFUNCTION("""COMPUTED_VALUE"""),"10Х17Н13М2Т")</f>
        <v>10Х17Н13М2Т</v>
      </c>
      <c r="D479" s="13">
        <f ca="1">IFERROR(__xludf.DUMMYFUNCTION("""COMPUTED_VALUE"""),180)</f>
        <v>180</v>
      </c>
      <c r="E479" s="13"/>
      <c r="F479" s="14" t="str">
        <f ca="1">IFERROR(__xludf.DUMMYFUNCTION("""COMPUTED_VALUE"""),"2ГП , УЗК, МКК, ОБТ")</f>
        <v>2ГП , УЗК, МКК, ОБТ</v>
      </c>
      <c r="G479" s="15">
        <f ca="1">IFERROR(__xludf.DUMMYFUNCTION("""COMPUTED_VALUE"""),2.222)</f>
        <v>2.222</v>
      </c>
      <c r="H479" s="15"/>
      <c r="I479" s="16">
        <f ca="1">IFERROR(__xludf.DUMMYFUNCTION("""COMPUTED_VALUE"""),705000)</f>
        <v>705000</v>
      </c>
    </row>
    <row r="480" spans="2:9" x14ac:dyDescent="0.3">
      <c r="B480" s="12" t="str">
        <f ca="1">IFERROR(__xludf.DUMMYFUNCTION("""COMPUTED_VALUE"""),"круг")</f>
        <v>круг</v>
      </c>
      <c r="C480" s="7" t="str">
        <f ca="1">IFERROR(__xludf.DUMMYFUNCTION("""COMPUTED_VALUE"""),"10Х17Н13М2Т")</f>
        <v>10Х17Н13М2Т</v>
      </c>
      <c r="D480" s="13">
        <f ca="1">IFERROR(__xludf.DUMMYFUNCTION("""COMPUTED_VALUE"""),190)</f>
        <v>190</v>
      </c>
      <c r="E480" s="13"/>
      <c r="F480" s="14"/>
      <c r="G480" s="15">
        <f ca="1">IFERROR(__xludf.DUMMYFUNCTION("""COMPUTED_VALUE"""),0.157)</f>
        <v>0.157</v>
      </c>
      <c r="H480" s="15"/>
      <c r="I480" s="16">
        <f ca="1">IFERROR(__xludf.DUMMYFUNCTION("""COMPUTED_VALUE"""),800000)</f>
        <v>800000</v>
      </c>
    </row>
    <row r="481" spans="2:9" x14ac:dyDescent="0.3">
      <c r="B481" s="12" t="str">
        <f ca="1">IFERROR(__xludf.DUMMYFUNCTION("""COMPUTED_VALUE"""),"круг")</f>
        <v>круг</v>
      </c>
      <c r="C481" s="7" t="str">
        <f ca="1">IFERROR(__xludf.DUMMYFUNCTION("""COMPUTED_VALUE"""),"10Х17Н13М2Т")</f>
        <v>10Х17Н13М2Т</v>
      </c>
      <c r="D481" s="13">
        <f ca="1">IFERROR(__xludf.DUMMYFUNCTION("""COMPUTED_VALUE"""),190)</f>
        <v>190</v>
      </c>
      <c r="E481" s="13"/>
      <c r="F481" s="14" t="str">
        <f ca="1">IFERROR(__xludf.DUMMYFUNCTION("""COMPUTED_VALUE"""),"гост 5949/2590 2гп, НД, УЗК МКК")</f>
        <v>гост 5949/2590 2гп, НД, УЗК МКК</v>
      </c>
      <c r="G481" s="15">
        <f ca="1">IFERROR(__xludf.DUMMYFUNCTION("""COMPUTED_VALUE"""),0.593)</f>
        <v>0.59299999999999997</v>
      </c>
      <c r="H481" s="15"/>
      <c r="I481" s="16">
        <f ca="1">IFERROR(__xludf.DUMMYFUNCTION("""COMPUTED_VALUE"""),800000)</f>
        <v>800000</v>
      </c>
    </row>
    <row r="482" spans="2:9" x14ac:dyDescent="0.3">
      <c r="B482" s="12" t="str">
        <f ca="1">IFERROR(__xludf.DUMMYFUNCTION("""COMPUTED_VALUE"""),"круг")</f>
        <v>круг</v>
      </c>
      <c r="C482" s="7" t="str">
        <f ca="1">IFERROR(__xludf.DUMMYFUNCTION("""COMPUTED_VALUE"""),"10Х17Н13М2Т")</f>
        <v>10Х17Н13М2Т</v>
      </c>
      <c r="D482" s="13">
        <f ca="1">IFERROR(__xludf.DUMMYFUNCTION("""COMPUTED_VALUE"""),200)</f>
        <v>200</v>
      </c>
      <c r="E482" s="13"/>
      <c r="F482" s="14"/>
      <c r="G482" s="15">
        <f ca="1">IFERROR(__xludf.DUMMYFUNCTION("""COMPUTED_VALUE"""),0.282999999999999)</f>
        <v>0.28299999999999897</v>
      </c>
      <c r="H482" s="15"/>
      <c r="I482" s="16">
        <f ca="1">IFERROR(__xludf.DUMMYFUNCTION("""COMPUTED_VALUE"""),970000)</f>
        <v>970000</v>
      </c>
    </row>
    <row r="483" spans="2:9" x14ac:dyDescent="0.3">
      <c r="B483" s="12" t="str">
        <f ca="1">IFERROR(__xludf.DUMMYFUNCTION("""COMPUTED_VALUE"""),"круг")</f>
        <v>круг</v>
      </c>
      <c r="C483" s="7" t="str">
        <f ca="1">IFERROR(__xludf.DUMMYFUNCTION("""COMPUTED_VALUE"""),"10Х17Н13М2Т")</f>
        <v>10Х17Н13М2Т</v>
      </c>
      <c r="D483" s="13">
        <f ca="1">IFERROR(__xludf.DUMMYFUNCTION("""COMPUTED_VALUE"""),200)</f>
        <v>200</v>
      </c>
      <c r="E483" s="13"/>
      <c r="F483" s="14" t="str">
        <f ca="1">IFERROR(__xludf.DUMMYFUNCTION("""COMPUTED_VALUE"""),"3гп, узк МКК")</f>
        <v>3гп, узк МКК</v>
      </c>
      <c r="G483" s="15">
        <f ca="1">IFERROR(__xludf.DUMMYFUNCTION("""COMPUTED_VALUE"""),1.67)</f>
        <v>1.67</v>
      </c>
      <c r="H483" s="15"/>
      <c r="I483" s="16">
        <f ca="1">IFERROR(__xludf.DUMMYFUNCTION("""COMPUTED_VALUE"""),970000)</f>
        <v>970000</v>
      </c>
    </row>
    <row r="484" spans="2:9" x14ac:dyDescent="0.3">
      <c r="B484" s="12" t="str">
        <f ca="1">IFERROR(__xludf.DUMMYFUNCTION("""COMPUTED_VALUE"""),"круг")</f>
        <v>круг</v>
      </c>
      <c r="C484" s="7" t="str">
        <f ca="1">IFERROR(__xludf.DUMMYFUNCTION("""COMPUTED_VALUE"""),"10Х17Н13М2Т")</f>
        <v>10Х17Н13М2Т</v>
      </c>
      <c r="D484" s="13">
        <f ca="1">IFERROR(__xludf.DUMMYFUNCTION("""COMPUTED_VALUE"""),220)</f>
        <v>220</v>
      </c>
      <c r="E484" s="13"/>
      <c r="F484" s="14" t="str">
        <f ca="1">IFERROR(__xludf.DUMMYFUNCTION("""COMPUTED_VALUE"""),"гост 5949/14-1-1530  УЗК МКК  чист.раз. -20мм , без обточки")</f>
        <v>гост 5949/14-1-1530  УЗК МКК  чист.раз. -20мм , без обточки</v>
      </c>
      <c r="G484" s="15">
        <f ca="1">IFERROR(__xludf.DUMMYFUNCTION("""COMPUTED_VALUE"""),0.0169999999999999)</f>
        <v>1.6999999999999901E-2</v>
      </c>
      <c r="H484" s="15"/>
      <c r="I484" s="16">
        <f ca="1">IFERROR(__xludf.DUMMYFUNCTION("""COMPUTED_VALUE"""),1050000)</f>
        <v>1050000</v>
      </c>
    </row>
    <row r="485" spans="2:9" x14ac:dyDescent="0.3">
      <c r="B485" s="12" t="str">
        <f ca="1">IFERROR(__xludf.DUMMYFUNCTION("""COMPUTED_VALUE"""),"круг")</f>
        <v>круг</v>
      </c>
      <c r="C485" s="7" t="str">
        <f ca="1">IFERROR(__xludf.DUMMYFUNCTION("""COMPUTED_VALUE"""),"10Х17Н13М2Т")</f>
        <v>10Х17Н13М2Т</v>
      </c>
      <c r="D485" s="13">
        <f ca="1">IFERROR(__xludf.DUMMYFUNCTION("""COMPUTED_VALUE"""),230)</f>
        <v>230</v>
      </c>
      <c r="E485" s="13"/>
      <c r="F485" s="14" t="str">
        <f ca="1">IFERROR(__xludf.DUMMYFUNCTION("""COMPUTED_VALUE"""),"14-1-1530-75.УЗК")</f>
        <v>14-1-1530-75.УЗК</v>
      </c>
      <c r="G485" s="15">
        <f ca="1">IFERROR(__xludf.DUMMYFUNCTION("""COMPUTED_VALUE"""),0.210999999999999)</f>
        <v>0.21099999999999899</v>
      </c>
      <c r="H485" s="15"/>
      <c r="I485" s="16">
        <f ca="1">IFERROR(__xludf.DUMMYFUNCTION("""COMPUTED_VALUE"""),900000)</f>
        <v>900000</v>
      </c>
    </row>
    <row r="486" spans="2:9" x14ac:dyDescent="0.3">
      <c r="B486" s="12" t="str">
        <f ca="1">IFERROR(__xludf.DUMMYFUNCTION("""COMPUTED_VALUE"""),"круг")</f>
        <v>круг</v>
      </c>
      <c r="C486" s="7" t="str">
        <f ca="1">IFERROR(__xludf.DUMMYFUNCTION("""COMPUTED_VALUE"""),"10Х17Н13М2Т")</f>
        <v>10Х17Н13М2Т</v>
      </c>
      <c r="D486" s="13">
        <f ca="1">IFERROR(__xludf.DUMMYFUNCTION("""COMPUTED_VALUE"""),250)</f>
        <v>250</v>
      </c>
      <c r="E486" s="13"/>
      <c r="F486" s="14" t="str">
        <f ca="1">IFERROR(__xludf.DUMMYFUNCTION("""COMPUTED_VALUE"""),"14-1-1530-75.УЗК")</f>
        <v>14-1-1530-75.УЗК</v>
      </c>
      <c r="G486" s="15">
        <f ca="1">IFERROR(__xludf.DUMMYFUNCTION("""COMPUTED_VALUE"""),0.662999999999999)</f>
        <v>0.66299999999999903</v>
      </c>
      <c r="H486" s="15"/>
      <c r="I486" s="16">
        <f ca="1">IFERROR(__xludf.DUMMYFUNCTION("""COMPUTED_VALUE"""),900000)</f>
        <v>900000</v>
      </c>
    </row>
    <row r="487" spans="2:9" x14ac:dyDescent="0.3">
      <c r="B487" s="12" t="str">
        <f ca="1">IFERROR(__xludf.DUMMYFUNCTION("""COMPUTED_VALUE"""),"круг")</f>
        <v>круг</v>
      </c>
      <c r="C487" s="7" t="str">
        <f ca="1">IFERROR(__xludf.DUMMYFUNCTION("""COMPUTED_VALUE"""),"10Х17Н13М2Т")</f>
        <v>10Х17Н13М2Т</v>
      </c>
      <c r="D487" s="13">
        <f ca="1">IFERROR(__xludf.DUMMYFUNCTION("""COMPUTED_VALUE"""),270)</f>
        <v>270</v>
      </c>
      <c r="E487" s="13"/>
      <c r="F487" s="14" t="str">
        <f ca="1">IFERROR(__xludf.DUMMYFUNCTION("""COMPUTED_VALUE"""),"14-1-1530-75.УЗК")</f>
        <v>14-1-1530-75.УЗК</v>
      </c>
      <c r="G487" s="15">
        <f ca="1">IFERROR(__xludf.DUMMYFUNCTION("""COMPUTED_VALUE"""),0.852)</f>
        <v>0.85199999999999998</v>
      </c>
      <c r="H487" s="15"/>
      <c r="I487" s="16">
        <f ca="1">IFERROR(__xludf.DUMMYFUNCTION("""COMPUTED_VALUE"""),900000)</f>
        <v>900000</v>
      </c>
    </row>
    <row r="488" spans="2:9" x14ac:dyDescent="0.3">
      <c r="B488" s="12" t="str">
        <f ca="1">IFERROR(__xludf.DUMMYFUNCTION("""COMPUTED_VALUE"""),"круг")</f>
        <v>круг</v>
      </c>
      <c r="C488" s="7" t="str">
        <f ca="1">IFERROR(__xludf.DUMMYFUNCTION("""COMPUTED_VALUE"""),"10Х17Н13М2Т")</f>
        <v>10Х17Н13М2Т</v>
      </c>
      <c r="D488" s="13">
        <f ca="1">IFERROR(__xludf.DUMMYFUNCTION("""COMPUTED_VALUE"""),270)</f>
        <v>270</v>
      </c>
      <c r="E488" s="13"/>
      <c r="F488" s="14" t="str">
        <f ca="1">IFERROR(__xludf.DUMMYFUNCTION("""COMPUTED_VALUE"""),"гост 5949/14-1-1530  УЗК МКК  чист.раз. -20мм , без обточки")</f>
        <v>гост 5949/14-1-1530  УЗК МКК  чист.раз. -20мм , без обточки</v>
      </c>
      <c r="G488" s="15">
        <f ca="1">IFERROR(__xludf.DUMMYFUNCTION("""COMPUTED_VALUE"""),1.47)</f>
        <v>1.47</v>
      </c>
      <c r="H488" s="15"/>
      <c r="I488" s="16">
        <f ca="1">IFERROR(__xludf.DUMMYFUNCTION("""COMPUTED_VALUE"""),1050000)</f>
        <v>1050000</v>
      </c>
    </row>
    <row r="489" spans="2:9" x14ac:dyDescent="0.3">
      <c r="B489" s="12" t="str">
        <f ca="1">IFERROR(__xludf.DUMMYFUNCTION("""COMPUTED_VALUE"""),"круг")</f>
        <v>круг</v>
      </c>
      <c r="C489" s="7" t="str">
        <f ca="1">IFERROR(__xludf.DUMMYFUNCTION("""COMPUTED_VALUE"""),"10Х17Н13М2Т")</f>
        <v>10Х17Н13М2Т</v>
      </c>
      <c r="D489" s="13">
        <f ca="1">IFERROR(__xludf.DUMMYFUNCTION("""COMPUTED_VALUE"""),300)</f>
        <v>300</v>
      </c>
      <c r="E489" s="13"/>
      <c r="F489" s="14"/>
      <c r="G489" s="15">
        <f ca="1">IFERROR(__xludf.DUMMYFUNCTION("""COMPUTED_VALUE"""),1.736)</f>
        <v>1.736</v>
      </c>
      <c r="H489" s="15"/>
      <c r="I489" s="16">
        <f ca="1">IFERROR(__xludf.DUMMYFUNCTION("""COMPUTED_VALUE"""),1050000)</f>
        <v>1050000</v>
      </c>
    </row>
    <row r="490" spans="2:9" x14ac:dyDescent="0.3">
      <c r="B490" s="12" t="str">
        <f ca="1">IFERROR(__xludf.DUMMYFUNCTION("""COMPUTED_VALUE"""),"круг")</f>
        <v>круг</v>
      </c>
      <c r="C490" s="7" t="str">
        <f ca="1">IFERROR(__xludf.DUMMYFUNCTION("""COMPUTED_VALUE"""),"10Х17Н13М2Т")</f>
        <v>10Х17Н13М2Т</v>
      </c>
      <c r="D490" s="13">
        <f ca="1">IFERROR(__xludf.DUMMYFUNCTION("""COMPUTED_VALUE"""),300)</f>
        <v>300</v>
      </c>
      <c r="E490" s="13"/>
      <c r="F490" s="14" t="str">
        <f ca="1">IFERROR(__xludf.DUMMYFUNCTION("""COMPUTED_VALUE"""),"    ")</f>
        <v xml:space="preserve">    </v>
      </c>
      <c r="G490" s="15">
        <f ca="1">IFERROR(__xludf.DUMMYFUNCTION("""COMPUTED_VALUE"""),1.49)</f>
        <v>1.49</v>
      </c>
      <c r="H490" s="15"/>
      <c r="I490" s="16">
        <f ca="1">IFERROR(__xludf.DUMMYFUNCTION("""COMPUTED_VALUE"""),1050000)</f>
        <v>1050000</v>
      </c>
    </row>
    <row r="491" spans="2:9" x14ac:dyDescent="0.3">
      <c r="B491" s="12" t="str">
        <f ca="1">IFERROR(__xludf.DUMMYFUNCTION("""COMPUTED_VALUE"""),"круг")</f>
        <v>круг</v>
      </c>
      <c r="C491" s="7" t="str">
        <f ca="1">IFERROR(__xludf.DUMMYFUNCTION("""COMPUTED_VALUE"""),"10Х17Н13М2Т")</f>
        <v>10Х17Н13М2Т</v>
      </c>
      <c r="D491" s="13">
        <f ca="1">IFERROR(__xludf.DUMMYFUNCTION("""COMPUTED_VALUE"""),300)</f>
        <v>300</v>
      </c>
      <c r="E491" s="13"/>
      <c r="F491" s="14" t="str">
        <f ca="1">IFERROR(__xludf.DUMMYFUNCTION("""COMPUTED_VALUE"""),"гост 5949 ТУ 14-1-1530 без обточки")</f>
        <v>гост 5949 ТУ 14-1-1530 без обточки</v>
      </c>
      <c r="G491" s="15">
        <f ca="1">IFERROR(__xludf.DUMMYFUNCTION("""COMPUTED_VALUE"""),1.445)</f>
        <v>1.4450000000000001</v>
      </c>
      <c r="H491" s="15"/>
      <c r="I491" s="16">
        <f ca="1">IFERROR(__xludf.DUMMYFUNCTION("""COMPUTED_VALUE"""),1050000)</f>
        <v>1050000</v>
      </c>
    </row>
    <row r="492" spans="2:9" x14ac:dyDescent="0.3">
      <c r="B492" s="12" t="str">
        <f ca="1">IFERROR(__xludf.DUMMYFUNCTION("""COMPUTED_VALUE"""),"круг")</f>
        <v>круг</v>
      </c>
      <c r="C492" s="7" t="str">
        <f ca="1">IFERROR(__xludf.DUMMYFUNCTION("""COMPUTED_VALUE"""),"10Х17Н13М2Т")</f>
        <v>10Х17Н13М2Т</v>
      </c>
      <c r="D492" s="13">
        <f ca="1">IFERROR(__xludf.DUMMYFUNCTION("""COMPUTED_VALUE"""),320)</f>
        <v>320</v>
      </c>
      <c r="E492" s="13"/>
      <c r="F492" s="14" t="str">
        <f ca="1">IFERROR(__xludf.DUMMYFUNCTION("""COMPUTED_VALUE"""),"  ")</f>
        <v xml:space="preserve">  </v>
      </c>
      <c r="G492" s="15">
        <f ca="1">IFERROR(__xludf.DUMMYFUNCTION("""COMPUTED_VALUE"""),0.0330000000000001)</f>
        <v>3.3000000000000099E-2</v>
      </c>
      <c r="H492" s="15"/>
      <c r="I492" s="16">
        <f ca="1">IFERROR(__xludf.DUMMYFUNCTION("""COMPUTED_VALUE"""),1050000)</f>
        <v>1050000</v>
      </c>
    </row>
    <row r="493" spans="2:9" x14ac:dyDescent="0.3">
      <c r="B493" s="12" t="str">
        <f ca="1">IFERROR(__xludf.DUMMYFUNCTION("""COMPUTED_VALUE"""),"круг")</f>
        <v>круг</v>
      </c>
      <c r="C493" s="7" t="str">
        <f ca="1">IFERROR(__xludf.DUMMYFUNCTION("""COMPUTED_VALUE"""),"10Х17Н13М2Т")</f>
        <v>10Х17Н13М2Т</v>
      </c>
      <c r="D493" s="13">
        <f ca="1">IFERROR(__xludf.DUMMYFUNCTION("""COMPUTED_VALUE"""),340)</f>
        <v>340</v>
      </c>
      <c r="E493" s="13"/>
      <c r="F493" s="14"/>
      <c r="G493" s="15">
        <f ca="1">IFERROR(__xludf.DUMMYFUNCTION("""COMPUTED_VALUE"""),0.947)</f>
        <v>0.94699999999999995</v>
      </c>
      <c r="H493" s="15"/>
      <c r="I493" s="16">
        <f ca="1">IFERROR(__xludf.DUMMYFUNCTION("""COMPUTED_VALUE"""),1050000)</f>
        <v>1050000</v>
      </c>
    </row>
    <row r="494" spans="2:9" x14ac:dyDescent="0.3">
      <c r="B494" s="12" t="str">
        <f ca="1">IFERROR(__xludf.DUMMYFUNCTION("""COMPUTED_VALUE"""),"круг")</f>
        <v>круг</v>
      </c>
      <c r="C494" s="7" t="str">
        <f ca="1">IFERROR(__xludf.DUMMYFUNCTION("""COMPUTED_VALUE"""),"10Х17Н13М2Т")</f>
        <v>10Х17Н13М2Т</v>
      </c>
      <c r="D494" s="13">
        <f ca="1">IFERROR(__xludf.DUMMYFUNCTION("""COMPUTED_VALUE"""),340)</f>
        <v>340</v>
      </c>
      <c r="E494" s="13"/>
      <c r="F494" s="14"/>
      <c r="G494" s="15">
        <f ca="1">IFERROR(__xludf.DUMMYFUNCTION("""COMPUTED_VALUE"""),1.485)</f>
        <v>1.4850000000000001</v>
      </c>
      <c r="H494" s="15"/>
      <c r="I494" s="16">
        <f ca="1">IFERROR(__xludf.DUMMYFUNCTION("""COMPUTED_VALUE"""),1050000)</f>
        <v>1050000</v>
      </c>
    </row>
    <row r="495" spans="2:9" x14ac:dyDescent="0.3">
      <c r="B495" s="12" t="str">
        <f ca="1">IFERROR(__xludf.DUMMYFUNCTION("""COMPUTED_VALUE"""),"круг")</f>
        <v>круг</v>
      </c>
      <c r="C495" s="7" t="str">
        <f ca="1">IFERROR(__xludf.DUMMYFUNCTION("""COMPUTED_VALUE"""),"10Х17Н13М2Т")</f>
        <v>10Х17Н13М2Т</v>
      </c>
      <c r="D495" s="13">
        <f ca="1">IFERROR(__xludf.DUMMYFUNCTION("""COMPUTED_VALUE"""),340)</f>
        <v>340</v>
      </c>
      <c r="E495" s="13"/>
      <c r="F495" s="14" t="str">
        <f ca="1">IFERROR(__xludf.DUMMYFUNCTION("""COMPUTED_VALUE"""),"гост 5949/14-1-1530  УЗК МКК  чист.раз. -20мм , без обточки")</f>
        <v>гост 5949/14-1-1530  УЗК МКК  чист.раз. -20мм , без обточки</v>
      </c>
      <c r="G495" s="15">
        <f ca="1">IFERROR(__xludf.DUMMYFUNCTION("""COMPUTED_VALUE"""),1.395)</f>
        <v>1.395</v>
      </c>
      <c r="H495" s="15"/>
      <c r="I495" s="16">
        <f ca="1">IFERROR(__xludf.DUMMYFUNCTION("""COMPUTED_VALUE"""),1050000)</f>
        <v>1050000</v>
      </c>
    </row>
    <row r="496" spans="2:9" x14ac:dyDescent="0.3">
      <c r="B496" s="12" t="str">
        <f ca="1">IFERROR(__xludf.DUMMYFUNCTION("""COMPUTED_VALUE"""),"круг")</f>
        <v>круг</v>
      </c>
      <c r="C496" s="7" t="str">
        <f ca="1">IFERROR(__xludf.DUMMYFUNCTION("""COMPUTED_VALUE"""),"10Х17Н13М2Т")</f>
        <v>10Х17Н13М2Т</v>
      </c>
      <c r="D496" s="13">
        <f ca="1">IFERROR(__xludf.DUMMYFUNCTION("""COMPUTED_VALUE"""),340)</f>
        <v>340</v>
      </c>
      <c r="E496" s="13"/>
      <c r="F496" s="14" t="str">
        <f ca="1">IFERROR(__xludf.DUMMYFUNCTION("""COMPUTED_VALUE"""),"гост 5949/14-1-1530  УЗК МКК  чист.раз. -20мм , без обточки")</f>
        <v>гост 5949/14-1-1530  УЗК МКК  чист.раз. -20мм , без обточки</v>
      </c>
      <c r="G496" s="15">
        <f ca="1">IFERROR(__xludf.DUMMYFUNCTION("""COMPUTED_VALUE"""),2.95)</f>
        <v>2.95</v>
      </c>
      <c r="H496" s="15"/>
      <c r="I496" s="16">
        <f ca="1">IFERROR(__xludf.DUMMYFUNCTION("""COMPUTED_VALUE"""),1050000)</f>
        <v>1050000</v>
      </c>
    </row>
    <row r="497" spans="2:9" x14ac:dyDescent="0.3">
      <c r="B497" s="12" t="str">
        <f ca="1">IFERROR(__xludf.DUMMYFUNCTION("""COMPUTED_VALUE"""),"круг")</f>
        <v>круг</v>
      </c>
      <c r="C497" s="7" t="str">
        <f ca="1">IFERROR(__xludf.DUMMYFUNCTION("""COMPUTED_VALUE"""),"10Х17Н13М2Т")</f>
        <v>10Х17Н13М2Т</v>
      </c>
      <c r="D497" s="13">
        <f ca="1">IFERROR(__xludf.DUMMYFUNCTION("""COMPUTED_VALUE"""),360)</f>
        <v>360</v>
      </c>
      <c r="E497" s="13"/>
      <c r="F497" s="14"/>
      <c r="G497" s="15">
        <f ca="1">IFERROR(__xludf.DUMMYFUNCTION("""COMPUTED_VALUE"""),0.058)</f>
        <v>5.8000000000000003E-2</v>
      </c>
      <c r="H497" s="15"/>
      <c r="I497" s="16">
        <f ca="1">IFERROR(__xludf.DUMMYFUNCTION("""COMPUTED_VALUE"""),1050000)</f>
        <v>1050000</v>
      </c>
    </row>
    <row r="498" spans="2:9" x14ac:dyDescent="0.3">
      <c r="B498" s="12" t="str">
        <f ca="1">IFERROR(__xludf.DUMMYFUNCTION("""COMPUTED_VALUE"""),"круг")</f>
        <v>круг</v>
      </c>
      <c r="C498" s="7" t="str">
        <f ca="1">IFERROR(__xludf.DUMMYFUNCTION("""COMPUTED_VALUE"""),"10Х17Н13М2Т")</f>
        <v>10Х17Н13М2Т</v>
      </c>
      <c r="D498" s="13">
        <f ca="1">IFERROR(__xludf.DUMMYFUNCTION("""COMPUTED_VALUE"""),360)</f>
        <v>360</v>
      </c>
      <c r="E498" s="13"/>
      <c r="F498" s="14"/>
      <c r="G498" s="15">
        <f ca="1">IFERROR(__xludf.DUMMYFUNCTION("""COMPUTED_VALUE"""),0.108)</f>
        <v>0.108</v>
      </c>
      <c r="H498" s="15"/>
      <c r="I498" s="16">
        <f ca="1">IFERROR(__xludf.DUMMYFUNCTION("""COMPUTED_VALUE"""),1050000)</f>
        <v>1050000</v>
      </c>
    </row>
    <row r="499" spans="2:9" x14ac:dyDescent="0.3">
      <c r="B499" s="12" t="str">
        <f ca="1">IFERROR(__xludf.DUMMYFUNCTION("""COMPUTED_VALUE"""),"круг")</f>
        <v>круг</v>
      </c>
      <c r="C499" s="7" t="str">
        <f ca="1">IFERROR(__xludf.DUMMYFUNCTION("""COMPUTED_VALUE"""),"10Х17Н13М2Т")</f>
        <v>10Х17Н13М2Т</v>
      </c>
      <c r="D499" s="13">
        <f ca="1">IFERROR(__xludf.DUMMYFUNCTION("""COMPUTED_VALUE"""),360)</f>
        <v>360</v>
      </c>
      <c r="E499" s="13"/>
      <c r="F499" s="14" t="str">
        <f ca="1">IFERROR(__xludf.DUMMYFUNCTION("""COMPUTED_VALUE"""),"гост 5949/14-1-1530  УЗК МКК  чист.раз. -20мм , без обточки")</f>
        <v>гост 5949/14-1-1530  УЗК МКК  чист.раз. -20мм , без обточки</v>
      </c>
      <c r="G499" s="15">
        <f ca="1">IFERROR(__xludf.DUMMYFUNCTION("""COMPUTED_VALUE"""),2.224)</f>
        <v>2.2240000000000002</v>
      </c>
      <c r="H499" s="15"/>
      <c r="I499" s="16">
        <f ca="1">IFERROR(__xludf.DUMMYFUNCTION("""COMPUTED_VALUE"""),1050000)</f>
        <v>1050000</v>
      </c>
    </row>
    <row r="500" spans="2:9" x14ac:dyDescent="0.3">
      <c r="B500" s="12" t="str">
        <f ca="1">IFERROR(__xludf.DUMMYFUNCTION("""COMPUTED_VALUE"""),"круг")</f>
        <v>круг</v>
      </c>
      <c r="C500" s="7" t="str">
        <f ca="1">IFERROR(__xludf.DUMMYFUNCTION("""COMPUTED_VALUE"""),"10Х17Н13М2Т")</f>
        <v>10Х17Н13М2Т</v>
      </c>
      <c r="D500" s="13">
        <f ca="1">IFERROR(__xludf.DUMMYFUNCTION("""COMPUTED_VALUE"""),400)</f>
        <v>400</v>
      </c>
      <c r="E500" s="13"/>
      <c r="F500" s="14" t="str">
        <f ca="1">IFERROR(__xludf.DUMMYFUNCTION("""COMPUTED_VALUE"""),"гост 5949/14-1-1530  УЗК МКК  чист.раз. -20мм , без обточки")</f>
        <v>гост 5949/14-1-1530  УЗК МКК  чист.раз. -20мм , без обточки</v>
      </c>
      <c r="G500" s="15">
        <f ca="1">IFERROR(__xludf.DUMMYFUNCTION("""COMPUTED_VALUE"""),0.788999999999999)</f>
        <v>0.78899999999999904</v>
      </c>
      <c r="H500" s="15"/>
      <c r="I500" s="16">
        <f ca="1">IFERROR(__xludf.DUMMYFUNCTION("""COMPUTED_VALUE"""),1050000)</f>
        <v>1050000</v>
      </c>
    </row>
    <row r="501" spans="2:9" x14ac:dyDescent="0.3">
      <c r="B501" s="12" t="str">
        <f ca="1">IFERROR(__xludf.DUMMYFUNCTION("""COMPUTED_VALUE"""),"круг")</f>
        <v>круг</v>
      </c>
      <c r="C501" s="7" t="str">
        <f ca="1">IFERROR(__xludf.DUMMYFUNCTION("""COMPUTED_VALUE"""),"10Х17Н13М2Т")</f>
        <v>10Х17Н13М2Т</v>
      </c>
      <c r="D501" s="13">
        <f ca="1">IFERROR(__xludf.DUMMYFUNCTION("""COMPUTED_VALUE"""),500)</f>
        <v>500</v>
      </c>
      <c r="E501" s="13"/>
      <c r="F501" s="14" t="str">
        <f ca="1">IFERROR(__xludf.DUMMYFUNCTION("""COMPUTED_VALUE"""),"14-1-1530-75.УЗК, обточ")</f>
        <v>14-1-1530-75.УЗК, обточ</v>
      </c>
      <c r="G501" s="15">
        <f ca="1">IFERROR(__xludf.DUMMYFUNCTION("""COMPUTED_VALUE"""),4.048)</f>
        <v>4.048</v>
      </c>
      <c r="H501" s="15"/>
      <c r="I501" s="16">
        <f ca="1">IFERROR(__xludf.DUMMYFUNCTION("""COMPUTED_VALUE"""),900000)</f>
        <v>900000</v>
      </c>
    </row>
    <row r="502" spans="2:9" x14ac:dyDescent="0.3">
      <c r="B502" s="12" t="str">
        <f ca="1">IFERROR(__xludf.DUMMYFUNCTION("""COMPUTED_VALUE"""),"Круг")</f>
        <v>Круг</v>
      </c>
      <c r="C502" s="7" t="str">
        <f ca="1">IFERROR(__xludf.DUMMYFUNCTION("""COMPUTED_VALUE"""),"12х18н10т-ВД")</f>
        <v>12х18н10т-ВД</v>
      </c>
      <c r="D502" s="13">
        <f ca="1">IFERROR(__xludf.DUMMYFUNCTION("""COMPUTED_VALUE"""),34)</f>
        <v>34</v>
      </c>
      <c r="E502" s="13"/>
      <c r="F502" s="14" t="str">
        <f ca="1">IFERROR(__xludf.DUMMYFUNCTION("""COMPUTED_VALUE"""),"УЗК,  АТП  ТУ 14-1-3581")</f>
        <v>УЗК,  АТП  ТУ 14-1-3581</v>
      </c>
      <c r="G502" s="15">
        <f ca="1">IFERROR(__xludf.DUMMYFUNCTION("""COMPUTED_VALUE"""),0.009)</f>
        <v>8.9999999999999993E-3</v>
      </c>
      <c r="H502" s="15"/>
      <c r="I502" s="16">
        <f ca="1">IFERROR(__xludf.DUMMYFUNCTION("""COMPUTED_VALUE"""),850000)</f>
        <v>850000</v>
      </c>
    </row>
    <row r="503" spans="2:9" x14ac:dyDescent="0.3">
      <c r="B503" s="12" t="str">
        <f ca="1">IFERROR(__xludf.DUMMYFUNCTION("""COMPUTED_VALUE"""),"Круг")</f>
        <v>Круг</v>
      </c>
      <c r="C503" s="7" t="str">
        <f ca="1">IFERROR(__xludf.DUMMYFUNCTION("""COMPUTED_VALUE"""),"12х18н10т-ВД")</f>
        <v>12х18н10т-ВД</v>
      </c>
      <c r="D503" s="13">
        <f ca="1">IFERROR(__xludf.DUMMYFUNCTION("""COMPUTED_VALUE"""),40)</f>
        <v>40</v>
      </c>
      <c r="E503" s="13"/>
      <c r="F503" s="14" t="str">
        <f ca="1">IFERROR(__xludf.DUMMYFUNCTION("""COMPUTED_VALUE"""),"УЗК,  АТП  ТУ 14-1-3581")</f>
        <v>УЗК,  АТП  ТУ 14-1-3581</v>
      </c>
      <c r="G503" s="15">
        <f ca="1">IFERROR(__xludf.DUMMYFUNCTION("""COMPUTED_VALUE"""),0.03)</f>
        <v>0.03</v>
      </c>
      <c r="H503" s="15"/>
      <c r="I503" s="16">
        <f ca="1">IFERROR(__xludf.DUMMYFUNCTION("""COMPUTED_VALUE"""),850000)</f>
        <v>850000</v>
      </c>
    </row>
    <row r="504" spans="2:9" x14ac:dyDescent="0.3">
      <c r="B504" s="12" t="str">
        <f ca="1">IFERROR(__xludf.DUMMYFUNCTION("""COMPUTED_VALUE"""),"Круг")</f>
        <v>Круг</v>
      </c>
      <c r="C504" s="7" t="str">
        <f ca="1">IFERROR(__xludf.DUMMYFUNCTION("""COMPUTED_VALUE"""),"12х18н10т-ВД")</f>
        <v>12х18н10т-ВД</v>
      </c>
      <c r="D504" s="13">
        <f ca="1">IFERROR(__xludf.DUMMYFUNCTION("""COMPUTED_VALUE"""),50)</f>
        <v>50</v>
      </c>
      <c r="E504" s="13"/>
      <c r="F504" s="14" t="str">
        <f ca="1">IFERROR(__xludf.DUMMYFUNCTION("""COMPUTED_VALUE"""),"УЗК,  АТП  ТУ 14-1-3581")</f>
        <v>УЗК,  АТП  ТУ 14-1-3581</v>
      </c>
      <c r="G504" s="15">
        <f ca="1">IFERROR(__xludf.DUMMYFUNCTION("""COMPUTED_VALUE"""),0.156)</f>
        <v>0.156</v>
      </c>
      <c r="H504" s="15"/>
      <c r="I504" s="16">
        <f ca="1">IFERROR(__xludf.DUMMYFUNCTION("""COMPUTED_VALUE"""),850000)</f>
        <v>850000</v>
      </c>
    </row>
    <row r="505" spans="2:9" x14ac:dyDescent="0.3">
      <c r="B505" s="12" t="str">
        <f ca="1">IFERROR(__xludf.DUMMYFUNCTION("""COMPUTED_VALUE"""),"Круг")</f>
        <v>Круг</v>
      </c>
      <c r="C505" s="7" t="str">
        <f ca="1">IFERROR(__xludf.DUMMYFUNCTION("""COMPUTED_VALUE"""),"12х18н10т-ВД")</f>
        <v>12х18н10т-ВД</v>
      </c>
      <c r="D505" s="13">
        <f ca="1">IFERROR(__xludf.DUMMYFUNCTION("""COMPUTED_VALUE"""),56)</f>
        <v>56</v>
      </c>
      <c r="E505" s="13"/>
      <c r="F505" s="14" t="str">
        <f ca="1">IFERROR(__xludf.DUMMYFUNCTION("""COMPUTED_VALUE"""),"УЗК,  АТП  ТУ 14-1-3581")</f>
        <v>УЗК,  АТП  ТУ 14-1-3581</v>
      </c>
      <c r="G505" s="15">
        <f ca="1">IFERROR(__xludf.DUMMYFUNCTION("""COMPUTED_VALUE"""),0.143)</f>
        <v>0.14299999999999999</v>
      </c>
      <c r="H505" s="15"/>
      <c r="I505" s="16">
        <f ca="1">IFERROR(__xludf.DUMMYFUNCTION("""COMPUTED_VALUE"""),850000)</f>
        <v>850000</v>
      </c>
    </row>
    <row r="506" spans="2:9" x14ac:dyDescent="0.3">
      <c r="B506" s="12" t="str">
        <f ca="1">IFERROR(__xludf.DUMMYFUNCTION("""COMPUTED_VALUE"""),"Круг")</f>
        <v>Круг</v>
      </c>
      <c r="C506" s="7" t="str">
        <f ca="1">IFERROR(__xludf.DUMMYFUNCTION("""COMPUTED_VALUE"""),"12х18н10т-ВД")</f>
        <v>12х18н10т-ВД</v>
      </c>
      <c r="D506" s="13">
        <f ca="1">IFERROR(__xludf.DUMMYFUNCTION("""COMPUTED_VALUE"""),60)</f>
        <v>60</v>
      </c>
      <c r="E506" s="13"/>
      <c r="F506" s="14" t="str">
        <f ca="1">IFERROR(__xludf.DUMMYFUNCTION("""COMPUTED_VALUE"""),"УЗК,  АТП  ТУ 14-1-3581")</f>
        <v>УЗК,  АТП  ТУ 14-1-3581</v>
      </c>
      <c r="G506" s="15">
        <f ca="1">IFERROR(__xludf.DUMMYFUNCTION("""COMPUTED_VALUE"""),0.096)</f>
        <v>9.6000000000000002E-2</v>
      </c>
      <c r="H506" s="15"/>
      <c r="I506" s="16">
        <f ca="1">IFERROR(__xludf.DUMMYFUNCTION("""COMPUTED_VALUE"""),850000)</f>
        <v>850000</v>
      </c>
    </row>
    <row r="507" spans="2:9" x14ac:dyDescent="0.3">
      <c r="B507" s="12" t="str">
        <f ca="1">IFERROR(__xludf.DUMMYFUNCTION("""COMPUTED_VALUE"""),"Круг")</f>
        <v>Круг</v>
      </c>
      <c r="C507" s="7" t="str">
        <f ca="1">IFERROR(__xludf.DUMMYFUNCTION("""COMPUTED_VALUE"""),"12х18н10т-ВД")</f>
        <v>12х18н10т-ВД</v>
      </c>
      <c r="D507" s="13">
        <f ca="1">IFERROR(__xludf.DUMMYFUNCTION("""COMPUTED_VALUE"""),80)</f>
        <v>80</v>
      </c>
      <c r="E507" s="13"/>
      <c r="F507" s="14" t="str">
        <f ca="1">IFERROR(__xludf.DUMMYFUNCTION("""COMPUTED_VALUE"""),"УЗК,  АТП  ТУ 14-1-3581")</f>
        <v>УЗК,  АТП  ТУ 14-1-3581</v>
      </c>
      <c r="G507" s="15">
        <f ca="1">IFERROR(__xludf.DUMMYFUNCTION("""COMPUTED_VALUE"""),0.149)</f>
        <v>0.14899999999999999</v>
      </c>
      <c r="H507" s="15"/>
      <c r="I507" s="16">
        <f ca="1">IFERROR(__xludf.DUMMYFUNCTION("""COMPUTED_VALUE"""),850000)</f>
        <v>850000</v>
      </c>
    </row>
    <row r="508" spans="2:9" x14ac:dyDescent="0.3">
      <c r="B508" s="12" t="str">
        <f ca="1">IFERROR(__xludf.DUMMYFUNCTION("""COMPUTED_VALUE"""),"Круг")</f>
        <v>Круг</v>
      </c>
      <c r="C508" s="7" t="str">
        <f ca="1">IFERROR(__xludf.DUMMYFUNCTION("""COMPUTED_VALUE"""),"12х18н10т-ВД")</f>
        <v>12х18н10т-ВД</v>
      </c>
      <c r="D508" s="13">
        <f ca="1">IFERROR(__xludf.DUMMYFUNCTION("""COMPUTED_VALUE"""),10)</f>
        <v>10</v>
      </c>
      <c r="E508" s="13"/>
      <c r="F508" s="14" t="str">
        <f ca="1">IFERROR(__xludf.DUMMYFUNCTION("""COMPUTED_VALUE"""),"УЗК, МКК, АТП  ТУ 14-1-3581")</f>
        <v>УЗК, МКК, АТП  ТУ 14-1-3581</v>
      </c>
      <c r="G508" s="15">
        <f ca="1">IFERROR(__xludf.DUMMYFUNCTION("""COMPUTED_VALUE"""),0.112999999999999)</f>
        <v>0.112999999999999</v>
      </c>
      <c r="H508" s="15"/>
      <c r="I508" s="16">
        <f ca="1">IFERROR(__xludf.DUMMYFUNCTION("""COMPUTED_VALUE"""),1780000)</f>
        <v>1780000</v>
      </c>
    </row>
    <row r="509" spans="2:9" x14ac:dyDescent="0.3">
      <c r="B509" s="12" t="str">
        <f ca="1">IFERROR(__xludf.DUMMYFUNCTION("""COMPUTED_VALUE"""),"Круг")</f>
        <v>Круг</v>
      </c>
      <c r="C509" s="7" t="str">
        <f ca="1">IFERROR(__xludf.DUMMYFUNCTION("""COMPUTED_VALUE"""),"12х18н10т-ВД")</f>
        <v>12х18н10т-ВД</v>
      </c>
      <c r="D509" s="13">
        <f ca="1">IFERROR(__xludf.DUMMYFUNCTION("""COMPUTED_VALUE"""),10)</f>
        <v>10</v>
      </c>
      <c r="E509" s="13"/>
      <c r="F509" s="14" t="str">
        <f ca="1">IFERROR(__xludf.DUMMYFUNCTION("""COMPUTED_VALUE"""),"УЗК,  АТП  ТУ 14-1-3581")</f>
        <v>УЗК,  АТП  ТУ 14-1-3581</v>
      </c>
      <c r="G509" s="15">
        <f ca="1">IFERROR(__xludf.DUMMYFUNCTION("""COMPUTED_VALUE"""),0.08)</f>
        <v>0.08</v>
      </c>
      <c r="H509" s="15"/>
      <c r="I509" s="16">
        <f ca="1">IFERROR(__xludf.DUMMYFUNCTION("""COMPUTED_VALUE"""),1800000)</f>
        <v>1800000</v>
      </c>
    </row>
    <row r="510" spans="2:9" x14ac:dyDescent="0.3">
      <c r="B510" s="12" t="str">
        <f ca="1">IFERROR(__xludf.DUMMYFUNCTION("""COMPUTED_VALUE"""),"Круг")</f>
        <v>Круг</v>
      </c>
      <c r="C510" s="7" t="str">
        <f ca="1">IFERROR(__xludf.DUMMYFUNCTION("""COMPUTED_VALUE"""),"12х18н10т-ВД")</f>
        <v>12х18н10т-ВД</v>
      </c>
      <c r="D510" s="13">
        <f ca="1">IFERROR(__xludf.DUMMYFUNCTION("""COMPUTED_VALUE"""),10)</f>
        <v>10</v>
      </c>
      <c r="E510" s="13"/>
      <c r="F510" s="14" t="str">
        <f ca="1">IFERROR(__xludf.DUMMYFUNCTION("""COMPUTED_VALUE"""),"УЗК,  АТП  ТУ 14-1-3581")</f>
        <v>УЗК,  АТП  ТУ 14-1-3581</v>
      </c>
      <c r="G510" s="15">
        <f ca="1">IFERROR(__xludf.DUMMYFUNCTION("""COMPUTED_VALUE"""),0.344)</f>
        <v>0.34399999999999997</v>
      </c>
      <c r="H510" s="15"/>
      <c r="I510" s="16">
        <f ca="1">IFERROR(__xludf.DUMMYFUNCTION("""COMPUTED_VALUE"""),1800000)</f>
        <v>1800000</v>
      </c>
    </row>
    <row r="511" spans="2:9" x14ac:dyDescent="0.3">
      <c r="B511" s="12" t="str">
        <f ca="1">IFERROR(__xludf.DUMMYFUNCTION("""COMPUTED_VALUE"""),"Круг")</f>
        <v>Круг</v>
      </c>
      <c r="C511" s="7" t="str">
        <f ca="1">IFERROR(__xludf.DUMMYFUNCTION("""COMPUTED_VALUE"""),"12х18н10т-ВД")</f>
        <v>12х18н10т-ВД</v>
      </c>
      <c r="D511" s="13">
        <f ca="1">IFERROR(__xludf.DUMMYFUNCTION("""COMPUTED_VALUE"""),12)</f>
        <v>12</v>
      </c>
      <c r="E511" s="13"/>
      <c r="F511" s="14" t="str">
        <f ca="1">IFERROR(__xludf.DUMMYFUNCTION("""COMPUTED_VALUE"""),"УЗК, МКК, АТП  ТУ 14-1-377")</f>
        <v>УЗК, МКК, АТП  ТУ 14-1-377</v>
      </c>
      <c r="G511" s="15">
        <f ca="1">IFERROR(__xludf.DUMMYFUNCTION("""COMPUTED_VALUE"""),0.022)</f>
        <v>2.1999999999999999E-2</v>
      </c>
      <c r="H511" s="15"/>
      <c r="I511" s="16">
        <f ca="1">IFERROR(__xludf.DUMMYFUNCTION("""COMPUTED_VALUE"""),1600000)</f>
        <v>1600000</v>
      </c>
    </row>
    <row r="512" spans="2:9" x14ac:dyDescent="0.3">
      <c r="B512" s="12" t="str">
        <f ca="1">IFERROR(__xludf.DUMMYFUNCTION("""COMPUTED_VALUE"""),"Круг")</f>
        <v>Круг</v>
      </c>
      <c r="C512" s="7" t="str">
        <f ca="1">IFERROR(__xludf.DUMMYFUNCTION("""COMPUTED_VALUE"""),"12х18н10т-ВД")</f>
        <v>12х18н10т-ВД</v>
      </c>
      <c r="D512" s="13">
        <f ca="1">IFERROR(__xludf.DUMMYFUNCTION("""COMPUTED_VALUE"""),14)</f>
        <v>14</v>
      </c>
      <c r="E512" s="13"/>
      <c r="F512" s="14" t="str">
        <f ca="1">IFERROR(__xludf.DUMMYFUNCTION("""COMPUTED_VALUE"""),"ту 14-1-3581 РТ")</f>
        <v>ту 14-1-3581 РТ</v>
      </c>
      <c r="G512" s="15">
        <f ca="1">IFERROR(__xludf.DUMMYFUNCTION("""COMPUTED_VALUE"""),0.0849999999999999)</f>
        <v>8.4999999999999895E-2</v>
      </c>
      <c r="H512" s="15"/>
      <c r="I512" s="16">
        <f ca="1">IFERROR(__xludf.DUMMYFUNCTION("""COMPUTED_VALUE"""),1650000)</f>
        <v>1650000</v>
      </c>
    </row>
    <row r="513" spans="2:9" x14ac:dyDescent="0.3">
      <c r="B513" s="12" t="str">
        <f ca="1">IFERROR(__xludf.DUMMYFUNCTION("""COMPUTED_VALUE"""),"Круг")</f>
        <v>Круг</v>
      </c>
      <c r="C513" s="7" t="str">
        <f ca="1">IFERROR(__xludf.DUMMYFUNCTION("""COMPUTED_VALUE"""),"12х18н10т-ВД")</f>
        <v>12х18н10т-ВД</v>
      </c>
      <c r="D513" s="13">
        <f ca="1">IFERROR(__xludf.DUMMYFUNCTION("""COMPUTED_VALUE"""),15)</f>
        <v>15</v>
      </c>
      <c r="E513" s="13"/>
      <c r="F513" s="14" t="str">
        <f ca="1">IFERROR(__xludf.DUMMYFUNCTION("""COMPUTED_VALUE"""),"УЗК, МКК, АТП  ТУ 14-1-3581")</f>
        <v>УЗК, МКК, АТП  ТУ 14-1-3581</v>
      </c>
      <c r="G513" s="15">
        <f ca="1">IFERROR(__xludf.DUMMYFUNCTION("""COMPUTED_VALUE"""),0.0529999999999999)</f>
        <v>5.2999999999999901E-2</v>
      </c>
      <c r="H513" s="15"/>
      <c r="I513" s="16">
        <f ca="1">IFERROR(__xludf.DUMMYFUNCTION("""COMPUTED_VALUE"""),1800000)</f>
        <v>1800000</v>
      </c>
    </row>
    <row r="514" spans="2:9" x14ac:dyDescent="0.3">
      <c r="B514" s="12" t="str">
        <f ca="1">IFERROR(__xludf.DUMMYFUNCTION("""COMPUTED_VALUE"""),"Круг")</f>
        <v>Круг</v>
      </c>
      <c r="C514" s="7" t="str">
        <f ca="1">IFERROR(__xludf.DUMMYFUNCTION("""COMPUTED_VALUE"""),"12х18н10т-ВД")</f>
        <v>12х18н10т-ВД</v>
      </c>
      <c r="D514" s="13">
        <f ca="1">IFERROR(__xludf.DUMMYFUNCTION("""COMPUTED_VALUE"""),25)</f>
        <v>25</v>
      </c>
      <c r="E514" s="13"/>
      <c r="F514" s="14" t="str">
        <f ca="1">IFERROR(__xludf.DUMMYFUNCTION("""COMPUTED_VALUE"""),"УЗК, МКК, АТП  ТУ 14-1-3581")</f>
        <v>УЗК, МКК, АТП  ТУ 14-1-3581</v>
      </c>
      <c r="G514" s="15">
        <f ca="1">IFERROR(__xludf.DUMMYFUNCTION("""COMPUTED_VALUE"""),0.0589999999999999)</f>
        <v>5.89999999999999E-2</v>
      </c>
      <c r="H514" s="15"/>
      <c r="I514" s="16">
        <f ca="1">IFERROR(__xludf.DUMMYFUNCTION("""COMPUTED_VALUE"""),1800000)</f>
        <v>1800000</v>
      </c>
    </row>
    <row r="515" spans="2:9" x14ac:dyDescent="0.3">
      <c r="B515" s="12" t="str">
        <f ca="1">IFERROR(__xludf.DUMMYFUNCTION("""COMPUTED_VALUE"""),"Круг")</f>
        <v>Круг</v>
      </c>
      <c r="C515" s="7" t="str">
        <f ca="1">IFERROR(__xludf.DUMMYFUNCTION("""COMPUTED_VALUE"""),"12х18н10т-ВД")</f>
        <v>12х18н10т-ВД</v>
      </c>
      <c r="D515" s="13">
        <f ca="1">IFERROR(__xludf.DUMMYFUNCTION("""COMPUTED_VALUE"""),25)</f>
        <v>25</v>
      </c>
      <c r="E515" s="13"/>
      <c r="F515" s="14" t="str">
        <f ca="1">IFERROR(__xludf.DUMMYFUNCTION("""COMPUTED_VALUE"""),"УЗК,  АТП  ТУ 14-1-3581")</f>
        <v>УЗК,  АТП  ТУ 14-1-3581</v>
      </c>
      <c r="G515" s="15">
        <f ca="1">IFERROR(__xludf.DUMMYFUNCTION("""COMPUTED_VALUE"""),0.123)</f>
        <v>0.123</v>
      </c>
      <c r="H515" s="15"/>
      <c r="I515" s="16">
        <f ca="1">IFERROR(__xludf.DUMMYFUNCTION("""COMPUTED_VALUE"""),1800000)</f>
        <v>1800000</v>
      </c>
    </row>
    <row r="516" spans="2:9" x14ac:dyDescent="0.3">
      <c r="B516" s="12" t="str">
        <f ca="1">IFERROR(__xludf.DUMMYFUNCTION("""COMPUTED_VALUE"""),"Круг")</f>
        <v>Круг</v>
      </c>
      <c r="C516" s="7" t="str">
        <f ca="1">IFERROR(__xludf.DUMMYFUNCTION("""COMPUTED_VALUE"""),"12х18н10т-ВД")</f>
        <v>12х18н10т-ВД</v>
      </c>
      <c r="D516" s="13">
        <f ca="1">IFERROR(__xludf.DUMMYFUNCTION("""COMPUTED_VALUE"""),25)</f>
        <v>25</v>
      </c>
      <c r="E516" s="13"/>
      <c r="F516" s="14" t="str">
        <f ca="1">IFERROR(__xludf.DUMMYFUNCTION("""COMPUTED_VALUE"""),"УЗК,  АТП  ТУ 14-1-3581")</f>
        <v>УЗК,  АТП  ТУ 14-1-3581</v>
      </c>
      <c r="G516" s="15">
        <f ca="1">IFERROR(__xludf.DUMMYFUNCTION("""COMPUTED_VALUE"""),0.43)</f>
        <v>0.43</v>
      </c>
      <c r="H516" s="15"/>
      <c r="I516" s="16">
        <f ca="1">IFERROR(__xludf.DUMMYFUNCTION("""COMPUTED_VALUE"""),1800000)</f>
        <v>1800000</v>
      </c>
    </row>
    <row r="517" spans="2:9" x14ac:dyDescent="0.3">
      <c r="B517" s="12" t="str">
        <f ca="1">IFERROR(__xludf.DUMMYFUNCTION("""COMPUTED_VALUE"""),"Круг")</f>
        <v>Круг</v>
      </c>
      <c r="C517" s="7" t="str">
        <f ca="1">IFERROR(__xludf.DUMMYFUNCTION("""COMPUTED_VALUE"""),"12х18н10т-ВД")</f>
        <v>12х18н10т-ВД</v>
      </c>
      <c r="D517" s="13">
        <f ca="1">IFERROR(__xludf.DUMMYFUNCTION("""COMPUTED_VALUE"""),25)</f>
        <v>25</v>
      </c>
      <c r="E517" s="13"/>
      <c r="F517" s="14" t="str">
        <f ca="1">IFERROR(__xludf.DUMMYFUNCTION("""COMPUTED_VALUE"""),"УЗК,  АТП  ТУ 14-1-3581")</f>
        <v>УЗК,  АТП  ТУ 14-1-3581</v>
      </c>
      <c r="G517" s="15">
        <f ca="1">IFERROR(__xludf.DUMMYFUNCTION("""COMPUTED_VALUE"""),0.288)</f>
        <v>0.28799999999999998</v>
      </c>
      <c r="H517" s="15"/>
      <c r="I517" s="16">
        <f ca="1">IFERROR(__xludf.DUMMYFUNCTION("""COMPUTED_VALUE"""),1800000)</f>
        <v>1800000</v>
      </c>
    </row>
    <row r="518" spans="2:9" x14ac:dyDescent="0.3">
      <c r="B518" s="12" t="str">
        <f ca="1">IFERROR(__xludf.DUMMYFUNCTION("""COMPUTED_VALUE"""),"Круг")</f>
        <v>Круг</v>
      </c>
      <c r="C518" s="7" t="str">
        <f ca="1">IFERROR(__xludf.DUMMYFUNCTION("""COMPUTED_VALUE"""),"12х18н10т-ВД")</f>
        <v>12х18н10т-ВД</v>
      </c>
      <c r="D518" s="13">
        <f ca="1">IFERROR(__xludf.DUMMYFUNCTION("""COMPUTED_VALUE"""),30)</f>
        <v>30</v>
      </c>
      <c r="E518" s="13"/>
      <c r="F518" s="14" t="str">
        <f ca="1">IFERROR(__xludf.DUMMYFUNCTION("""COMPUTED_VALUE"""),"УЗК,  АТП  ТУ 14-1-3581")</f>
        <v>УЗК,  АТП  ТУ 14-1-3581</v>
      </c>
      <c r="G518" s="15">
        <f ca="1">IFERROR(__xludf.DUMMYFUNCTION("""COMPUTED_VALUE"""),0.271999999999999)</f>
        <v>0.27199999999999902</v>
      </c>
      <c r="H518" s="15"/>
      <c r="I518" s="16">
        <f ca="1">IFERROR(__xludf.DUMMYFUNCTION("""COMPUTED_VALUE"""),1800000)</f>
        <v>1800000</v>
      </c>
    </row>
    <row r="519" spans="2:9" x14ac:dyDescent="0.3">
      <c r="B519" s="12" t="str">
        <f ca="1">IFERROR(__xludf.DUMMYFUNCTION("""COMPUTED_VALUE"""),"Круг")</f>
        <v>Круг</v>
      </c>
      <c r="C519" s="7" t="str">
        <f ca="1">IFERROR(__xludf.DUMMYFUNCTION("""COMPUTED_VALUE"""),"12х18н10т-ВД")</f>
        <v>12х18н10т-ВД</v>
      </c>
      <c r="D519" s="13">
        <f ca="1">IFERROR(__xludf.DUMMYFUNCTION("""COMPUTED_VALUE"""),30)</f>
        <v>30</v>
      </c>
      <c r="E519" s="13"/>
      <c r="F519" s="14" t="str">
        <f ca="1">IFERROR(__xludf.DUMMYFUNCTION("""COMPUTED_VALUE"""),"УЗК,  АТП  ТУ 14-1-3581 , 2ГП, обточ.")</f>
        <v>УЗК,  АТП  ТУ 14-1-3581 , 2ГП, обточ.</v>
      </c>
      <c r="G519" s="15">
        <f ca="1">IFERROR(__xludf.DUMMYFUNCTION("""COMPUTED_VALUE"""),0.203)</f>
        <v>0.20300000000000001</v>
      </c>
      <c r="H519" s="15"/>
      <c r="I519" s="16">
        <f ca="1">IFERROR(__xludf.DUMMYFUNCTION("""COMPUTED_VALUE"""),1800000)</f>
        <v>1800000</v>
      </c>
    </row>
    <row r="520" spans="2:9" x14ac:dyDescent="0.3">
      <c r="B520" s="12" t="str">
        <f ca="1">IFERROR(__xludf.DUMMYFUNCTION("""COMPUTED_VALUE"""),"Круг")</f>
        <v>Круг</v>
      </c>
      <c r="C520" s="7" t="str">
        <f ca="1">IFERROR(__xludf.DUMMYFUNCTION("""COMPUTED_VALUE"""),"12х18н10т-ВД")</f>
        <v>12х18н10т-ВД</v>
      </c>
      <c r="D520" s="13">
        <f ca="1">IFERROR(__xludf.DUMMYFUNCTION("""COMPUTED_VALUE"""),30)</f>
        <v>30</v>
      </c>
      <c r="E520" s="13"/>
      <c r="F520" s="14" t="str">
        <f ca="1">IFERROR(__xludf.DUMMYFUNCTION("""COMPUTED_VALUE"""),"УЗК,  АТП  ТУ 14-1-3581 , 2ГП, обточ.")</f>
        <v>УЗК,  АТП  ТУ 14-1-3581 , 2ГП, обточ.</v>
      </c>
      <c r="G520" s="15">
        <f ca="1">IFERROR(__xludf.DUMMYFUNCTION("""COMPUTED_VALUE"""),0.0149999999999999)</f>
        <v>1.4999999999999901E-2</v>
      </c>
      <c r="H520" s="15"/>
      <c r="I520" s="16">
        <f ca="1">IFERROR(__xludf.DUMMYFUNCTION("""COMPUTED_VALUE"""),1800000)</f>
        <v>1800000</v>
      </c>
    </row>
    <row r="521" spans="2:9" x14ac:dyDescent="0.3">
      <c r="B521" s="12" t="str">
        <f ca="1">IFERROR(__xludf.DUMMYFUNCTION("""COMPUTED_VALUE"""),"Круг")</f>
        <v>Круг</v>
      </c>
      <c r="C521" s="7" t="str">
        <f ca="1">IFERROR(__xludf.DUMMYFUNCTION("""COMPUTED_VALUE"""),"12х18н10т-ВД")</f>
        <v>12х18н10т-ВД</v>
      </c>
      <c r="D521" s="13">
        <f ca="1">IFERROR(__xludf.DUMMYFUNCTION("""COMPUTED_VALUE"""),30)</f>
        <v>30</v>
      </c>
      <c r="E521" s="13"/>
      <c r="F521" s="14" t="str">
        <f ca="1">IFERROR(__xludf.DUMMYFUNCTION("""COMPUTED_VALUE"""),"УЗК,  АТП  ТУ 14-1-3581 , 2ГП, обточ.")</f>
        <v>УЗК,  АТП  ТУ 14-1-3581 , 2ГП, обточ.</v>
      </c>
      <c r="G521" s="15">
        <f ca="1">IFERROR(__xludf.DUMMYFUNCTION("""COMPUTED_VALUE"""),0.069)</f>
        <v>6.9000000000000006E-2</v>
      </c>
      <c r="H521" s="15"/>
      <c r="I521" s="16">
        <f ca="1">IFERROR(__xludf.DUMMYFUNCTION("""COMPUTED_VALUE"""),1800000)</f>
        <v>1800000</v>
      </c>
    </row>
    <row r="522" spans="2:9" x14ac:dyDescent="0.3">
      <c r="B522" s="12" t="str">
        <f ca="1">IFERROR(__xludf.DUMMYFUNCTION("""COMPUTED_VALUE"""),"Круг")</f>
        <v>Круг</v>
      </c>
      <c r="C522" s="7" t="str">
        <f ca="1">IFERROR(__xludf.DUMMYFUNCTION("""COMPUTED_VALUE"""),"12х18н10т-ВД")</f>
        <v>12х18н10т-ВД</v>
      </c>
      <c r="D522" s="13">
        <f ca="1">IFERROR(__xludf.DUMMYFUNCTION("""COMPUTED_VALUE"""),30)</f>
        <v>30</v>
      </c>
      <c r="E522" s="13"/>
      <c r="F522" s="14" t="str">
        <f ca="1">IFERROR(__xludf.DUMMYFUNCTION("""COMPUTED_VALUE"""),"УЗК,  АТП  ТУ 14-1-3581 , 2ГП, обточ.")</f>
        <v>УЗК,  АТП  ТУ 14-1-3581 , 2ГП, обточ.</v>
      </c>
      <c r="G522" s="15">
        <f ca="1">IFERROR(__xludf.DUMMYFUNCTION("""COMPUTED_VALUE"""),0.124)</f>
        <v>0.124</v>
      </c>
      <c r="H522" s="15"/>
      <c r="I522" s="16">
        <f ca="1">IFERROR(__xludf.DUMMYFUNCTION("""COMPUTED_VALUE"""),1800000)</f>
        <v>1800000</v>
      </c>
    </row>
    <row r="523" spans="2:9" x14ac:dyDescent="0.3">
      <c r="B523" s="12" t="str">
        <f ca="1">IFERROR(__xludf.DUMMYFUNCTION("""COMPUTED_VALUE"""),"Круг")</f>
        <v>Круг</v>
      </c>
      <c r="C523" s="7" t="str">
        <f ca="1">IFERROR(__xludf.DUMMYFUNCTION("""COMPUTED_VALUE"""),"12х18н10т-ВД")</f>
        <v>12х18н10т-ВД</v>
      </c>
      <c r="D523" s="13">
        <f ca="1">IFERROR(__xludf.DUMMYFUNCTION("""COMPUTED_VALUE"""),30)</f>
        <v>30</v>
      </c>
      <c r="E523" s="13"/>
      <c r="F523" s="14" t="str">
        <f ca="1">IFERROR(__xludf.DUMMYFUNCTION("""COMPUTED_VALUE"""),"УЗК,  АТП  ТУ 14-1-3581 , 2ГП, обточ.")</f>
        <v>УЗК,  АТП  ТУ 14-1-3581 , 2ГП, обточ.</v>
      </c>
      <c r="G523" s="15">
        <f ca="1">IFERROR(__xludf.DUMMYFUNCTION("""COMPUTED_VALUE"""),0.187)</f>
        <v>0.187</v>
      </c>
      <c r="H523" s="15"/>
      <c r="I523" s="16">
        <f ca="1">IFERROR(__xludf.DUMMYFUNCTION("""COMPUTED_VALUE"""),1800000)</f>
        <v>1800000</v>
      </c>
    </row>
    <row r="524" spans="2:9" x14ac:dyDescent="0.3">
      <c r="B524" s="12" t="str">
        <f ca="1">IFERROR(__xludf.DUMMYFUNCTION("""COMPUTED_VALUE"""),"Круг")</f>
        <v>Круг</v>
      </c>
      <c r="C524" s="7" t="str">
        <f ca="1">IFERROR(__xludf.DUMMYFUNCTION("""COMPUTED_VALUE"""),"12х18н10т-ВД")</f>
        <v>12х18н10т-ВД</v>
      </c>
      <c r="D524" s="13">
        <f ca="1">IFERROR(__xludf.DUMMYFUNCTION("""COMPUTED_VALUE"""),30)</f>
        <v>30</v>
      </c>
      <c r="E524" s="13"/>
      <c r="F524" s="14" t="str">
        <f ca="1">IFERROR(__xludf.DUMMYFUNCTION("""COMPUTED_VALUE"""),"УЗК,  АТП  ТУ 14-1-3581 , 2ГП, обточ.")</f>
        <v>УЗК,  АТП  ТУ 14-1-3581 , 2ГП, обточ.</v>
      </c>
      <c r="G524" s="15">
        <f ca="1">IFERROR(__xludf.DUMMYFUNCTION("""COMPUTED_VALUE"""),0.194)</f>
        <v>0.19400000000000001</v>
      </c>
      <c r="H524" s="15"/>
      <c r="I524" s="16">
        <f ca="1">IFERROR(__xludf.DUMMYFUNCTION("""COMPUTED_VALUE"""),1800000)</f>
        <v>1800000</v>
      </c>
    </row>
    <row r="525" spans="2:9" x14ac:dyDescent="0.3">
      <c r="B525" s="12" t="str">
        <f ca="1">IFERROR(__xludf.DUMMYFUNCTION("""COMPUTED_VALUE"""),"Круг")</f>
        <v>Круг</v>
      </c>
      <c r="C525" s="7" t="str">
        <f ca="1">IFERROR(__xludf.DUMMYFUNCTION("""COMPUTED_VALUE"""),"12х18н10т-ВД")</f>
        <v>12х18н10т-ВД</v>
      </c>
      <c r="D525" s="13">
        <f ca="1">IFERROR(__xludf.DUMMYFUNCTION("""COMPUTED_VALUE"""),30)</f>
        <v>30</v>
      </c>
      <c r="E525" s="13"/>
      <c r="F525" s="14" t="str">
        <f ca="1">IFERROR(__xludf.DUMMYFUNCTION("""COMPUTED_VALUE"""),"УЗК,  АТП  ТУ 14-1-3581 , 2ГП, обточ.")</f>
        <v>УЗК,  АТП  ТУ 14-1-3581 , 2ГП, обточ.</v>
      </c>
      <c r="G525" s="15">
        <f ca="1">IFERROR(__xludf.DUMMYFUNCTION("""COMPUTED_VALUE"""),0.383)</f>
        <v>0.38300000000000001</v>
      </c>
      <c r="H525" s="15"/>
      <c r="I525" s="16">
        <f ca="1">IFERROR(__xludf.DUMMYFUNCTION("""COMPUTED_VALUE"""),1800000)</f>
        <v>1800000</v>
      </c>
    </row>
    <row r="526" spans="2:9" x14ac:dyDescent="0.3">
      <c r="B526" s="12" t="str">
        <f ca="1">IFERROR(__xludf.DUMMYFUNCTION("""COMPUTED_VALUE"""),"Круг")</f>
        <v>Круг</v>
      </c>
      <c r="C526" s="7" t="str">
        <f ca="1">IFERROR(__xludf.DUMMYFUNCTION("""COMPUTED_VALUE"""),"12х18н10т-ВД")</f>
        <v>12х18н10т-ВД</v>
      </c>
      <c r="D526" s="13">
        <f ca="1">IFERROR(__xludf.DUMMYFUNCTION("""COMPUTED_VALUE"""),36)</f>
        <v>36</v>
      </c>
      <c r="E526" s="13"/>
      <c r="F526" s="14" t="str">
        <f ca="1">IFERROR(__xludf.DUMMYFUNCTION("""COMPUTED_VALUE"""),"УЗК,  АТП  ТУ 14-1-3581 , 2ГП, обточ.")</f>
        <v>УЗК,  АТП  ТУ 14-1-3581 , 2ГП, обточ.</v>
      </c>
      <c r="G526" s="15">
        <f ca="1">IFERROR(__xludf.DUMMYFUNCTION("""COMPUTED_VALUE"""),0.069)</f>
        <v>6.9000000000000006E-2</v>
      </c>
      <c r="H526" s="15"/>
      <c r="I526" s="16">
        <f ca="1">IFERROR(__xludf.DUMMYFUNCTION("""COMPUTED_VALUE"""),1600000)</f>
        <v>1600000</v>
      </c>
    </row>
    <row r="527" spans="2:9" x14ac:dyDescent="0.3">
      <c r="B527" s="12" t="str">
        <f ca="1">IFERROR(__xludf.DUMMYFUNCTION("""COMPUTED_VALUE"""),"Круг")</f>
        <v>Круг</v>
      </c>
      <c r="C527" s="7" t="str">
        <f ca="1">IFERROR(__xludf.DUMMYFUNCTION("""COMPUTED_VALUE"""),"12х18н10т-ВД")</f>
        <v>12х18н10т-ВД</v>
      </c>
      <c r="D527" s="13">
        <f ca="1">IFERROR(__xludf.DUMMYFUNCTION("""COMPUTED_VALUE"""),36)</f>
        <v>36</v>
      </c>
      <c r="E527" s="13"/>
      <c r="F527" s="14" t="str">
        <f ca="1">IFERROR(__xludf.DUMMYFUNCTION("""COMPUTED_VALUE"""),"УЗК,  АТП  ТУ 14-1-3581 , 2ГП, обточ.")</f>
        <v>УЗК,  АТП  ТУ 14-1-3581 , 2ГП, обточ.</v>
      </c>
      <c r="G527" s="15">
        <f ca="1">IFERROR(__xludf.DUMMYFUNCTION("""COMPUTED_VALUE"""),0.02)</f>
        <v>0.02</v>
      </c>
      <c r="H527" s="15"/>
      <c r="I527" s="16">
        <f ca="1">IFERROR(__xludf.DUMMYFUNCTION("""COMPUTED_VALUE"""),1600000)</f>
        <v>1600000</v>
      </c>
    </row>
    <row r="528" spans="2:9" x14ac:dyDescent="0.3">
      <c r="B528" s="12" t="str">
        <f ca="1">IFERROR(__xludf.DUMMYFUNCTION("""COMPUTED_VALUE"""),"Круг")</f>
        <v>Круг</v>
      </c>
      <c r="C528" s="7" t="str">
        <f ca="1">IFERROR(__xludf.DUMMYFUNCTION("""COMPUTED_VALUE"""),"12х18н10т-ВД")</f>
        <v>12х18н10т-ВД</v>
      </c>
      <c r="D528" s="13">
        <f ca="1">IFERROR(__xludf.DUMMYFUNCTION("""COMPUTED_VALUE"""),36)</f>
        <v>36</v>
      </c>
      <c r="E528" s="13"/>
      <c r="F528" s="14" t="str">
        <f ca="1">IFERROR(__xludf.DUMMYFUNCTION("""COMPUTED_VALUE"""),"УЗК,  АТП  ТУ 14-1-3581 , 2ГП, обточ.")</f>
        <v>УЗК,  АТП  ТУ 14-1-3581 , 2ГП, обточ.</v>
      </c>
      <c r="G528" s="15">
        <f ca="1">IFERROR(__xludf.DUMMYFUNCTION("""COMPUTED_VALUE"""),0.34)</f>
        <v>0.34</v>
      </c>
      <c r="H528" s="15"/>
      <c r="I528" s="16">
        <f ca="1">IFERROR(__xludf.DUMMYFUNCTION("""COMPUTED_VALUE"""),1600000)</f>
        <v>1600000</v>
      </c>
    </row>
    <row r="529" spans="2:9" x14ac:dyDescent="0.3">
      <c r="B529" s="12" t="str">
        <f ca="1">IFERROR(__xludf.DUMMYFUNCTION("""COMPUTED_VALUE"""),"Круг")</f>
        <v>Круг</v>
      </c>
      <c r="C529" s="7" t="str">
        <f ca="1">IFERROR(__xludf.DUMMYFUNCTION("""COMPUTED_VALUE"""),"12х18н10т-ВД")</f>
        <v>12х18н10т-ВД</v>
      </c>
      <c r="D529" s="13">
        <f ca="1">IFERROR(__xludf.DUMMYFUNCTION("""COMPUTED_VALUE"""),40)</f>
        <v>40</v>
      </c>
      <c r="E529" s="13"/>
      <c r="F529" s="14" t="str">
        <f ca="1">IFERROR(__xludf.DUMMYFUNCTION("""COMPUTED_VALUE"""),"УЗК,  АТП  ТУ 14-1-3581 , 2ГП, обточ.")</f>
        <v>УЗК,  АТП  ТУ 14-1-3581 , 2ГП, обточ.</v>
      </c>
      <c r="G529" s="15">
        <f ca="1">IFERROR(__xludf.DUMMYFUNCTION("""COMPUTED_VALUE"""),0.152999999999999)</f>
        <v>0.152999999999999</v>
      </c>
      <c r="H529" s="15"/>
      <c r="I529" s="16">
        <f ca="1">IFERROR(__xludf.DUMMYFUNCTION("""COMPUTED_VALUE"""),1600000)</f>
        <v>1600000</v>
      </c>
    </row>
    <row r="530" spans="2:9" x14ac:dyDescent="0.3">
      <c r="B530" s="12" t="str">
        <f ca="1">IFERROR(__xludf.DUMMYFUNCTION("""COMPUTED_VALUE"""),"Круг")</f>
        <v>Круг</v>
      </c>
      <c r="C530" s="7" t="str">
        <f ca="1">IFERROR(__xludf.DUMMYFUNCTION("""COMPUTED_VALUE"""),"12х18н10т-ВД")</f>
        <v>12х18н10т-ВД</v>
      </c>
      <c r="D530" s="13">
        <f ca="1">IFERROR(__xludf.DUMMYFUNCTION("""COMPUTED_VALUE"""),50)</f>
        <v>50</v>
      </c>
      <c r="E530" s="13"/>
      <c r="F530" s="14" t="str">
        <f ca="1">IFERROR(__xludf.DUMMYFUNCTION("""COMPUTED_VALUE"""),"УЗК,  АТП  ТУ 14-1-3581")</f>
        <v>УЗК,  АТП  ТУ 14-1-3581</v>
      </c>
      <c r="G530" s="15">
        <f ca="1">IFERROR(__xludf.DUMMYFUNCTION("""COMPUTED_VALUE"""),0.658999999999999)</f>
        <v>0.65899999999999903</v>
      </c>
      <c r="H530" s="15"/>
      <c r="I530" s="16">
        <f ca="1">IFERROR(__xludf.DUMMYFUNCTION("""COMPUTED_VALUE"""),1800000)</f>
        <v>1800000</v>
      </c>
    </row>
    <row r="531" spans="2:9" x14ac:dyDescent="0.3">
      <c r="B531" s="12" t="str">
        <f ca="1">IFERROR(__xludf.DUMMYFUNCTION("""COMPUTED_VALUE"""),"Круг")</f>
        <v>Круг</v>
      </c>
      <c r="C531" s="7" t="str">
        <f ca="1">IFERROR(__xludf.DUMMYFUNCTION("""COMPUTED_VALUE"""),"12х18н10т-ВД")</f>
        <v>12х18н10т-ВД</v>
      </c>
      <c r="D531" s="13">
        <f ca="1">IFERROR(__xludf.DUMMYFUNCTION("""COMPUTED_VALUE"""),50)</f>
        <v>50</v>
      </c>
      <c r="E531" s="13"/>
      <c r="F531" s="14" t="str">
        <f ca="1">IFERROR(__xludf.DUMMYFUNCTION("""COMPUTED_VALUE"""),"УЗК,  АТП  ТУ 14-1-3581 , 2ГП, обточ.")</f>
        <v>УЗК,  АТП  ТУ 14-1-3581 , 2ГП, обточ.</v>
      </c>
      <c r="G531" s="15">
        <f ca="1">IFERROR(__xludf.DUMMYFUNCTION("""COMPUTED_VALUE"""),0.541)</f>
        <v>0.54100000000000004</v>
      </c>
      <c r="H531" s="15"/>
      <c r="I531" s="16">
        <f ca="1">IFERROR(__xludf.DUMMYFUNCTION("""COMPUTED_VALUE"""),1800000)</f>
        <v>1800000</v>
      </c>
    </row>
    <row r="532" spans="2:9" x14ac:dyDescent="0.3">
      <c r="B532" s="12" t="str">
        <f ca="1">IFERROR(__xludf.DUMMYFUNCTION("""COMPUTED_VALUE"""),"Круг")</f>
        <v>Круг</v>
      </c>
      <c r="C532" s="7" t="str">
        <f ca="1">IFERROR(__xludf.DUMMYFUNCTION("""COMPUTED_VALUE"""),"12х18н10т-ВД")</f>
        <v>12х18н10т-ВД</v>
      </c>
      <c r="D532" s="13">
        <f ca="1">IFERROR(__xludf.DUMMYFUNCTION("""COMPUTED_VALUE"""),50)</f>
        <v>50</v>
      </c>
      <c r="E532" s="13"/>
      <c r="F532" s="14" t="str">
        <f ca="1">IFERROR(__xludf.DUMMYFUNCTION("""COMPUTED_VALUE"""),"УЗК,  АТП  ТУ 14-1-3581 , 2ГП, обточ.")</f>
        <v>УЗК,  АТП  ТУ 14-1-3581 , 2ГП, обточ.</v>
      </c>
      <c r="G532" s="15">
        <f ca="1">IFERROR(__xludf.DUMMYFUNCTION("""COMPUTED_VALUE"""),0.562)</f>
        <v>0.56200000000000006</v>
      </c>
      <c r="H532" s="15"/>
      <c r="I532" s="16">
        <f ca="1">IFERROR(__xludf.DUMMYFUNCTION("""COMPUTED_VALUE"""),1800000)</f>
        <v>1800000</v>
      </c>
    </row>
    <row r="533" spans="2:9" x14ac:dyDescent="0.3">
      <c r="B533" s="12" t="str">
        <f ca="1">IFERROR(__xludf.DUMMYFUNCTION("""COMPUTED_VALUE"""),"Круг")</f>
        <v>Круг</v>
      </c>
      <c r="C533" s="7" t="str">
        <f ca="1">IFERROR(__xludf.DUMMYFUNCTION("""COMPUTED_VALUE"""),"12х18н10т-ВД")</f>
        <v>12х18н10т-ВД</v>
      </c>
      <c r="D533" s="13">
        <f ca="1">IFERROR(__xludf.DUMMYFUNCTION("""COMPUTED_VALUE"""),56)</f>
        <v>56</v>
      </c>
      <c r="E533" s="13"/>
      <c r="F533" s="14" t="str">
        <f ca="1">IFERROR(__xludf.DUMMYFUNCTION("""COMPUTED_VALUE"""),"УЗК,  АТП  ТУ 14-1-3581")</f>
        <v>УЗК,  АТП  ТУ 14-1-3581</v>
      </c>
      <c r="G533" s="15">
        <f ca="1">IFERROR(__xludf.DUMMYFUNCTION("""COMPUTED_VALUE"""),0.128999999999999)</f>
        <v>0.128999999999999</v>
      </c>
      <c r="H533" s="15"/>
      <c r="I533" s="16">
        <f ca="1">IFERROR(__xludf.DUMMYFUNCTION("""COMPUTED_VALUE"""),1800000)</f>
        <v>1800000</v>
      </c>
    </row>
    <row r="534" spans="2:9" x14ac:dyDescent="0.3">
      <c r="B534" s="12" t="str">
        <f ca="1">IFERROR(__xludf.DUMMYFUNCTION("""COMPUTED_VALUE"""),"Круг")</f>
        <v>Круг</v>
      </c>
      <c r="C534" s="7" t="str">
        <f ca="1">IFERROR(__xludf.DUMMYFUNCTION("""COMPUTED_VALUE"""),"12х18н10т-ВД")</f>
        <v>12х18н10т-ВД</v>
      </c>
      <c r="D534" s="13">
        <f ca="1">IFERROR(__xludf.DUMMYFUNCTION("""COMPUTED_VALUE"""),56)</f>
        <v>56</v>
      </c>
      <c r="E534" s="13"/>
      <c r="F534" s="14" t="str">
        <f ca="1">IFERROR(__xludf.DUMMYFUNCTION("""COMPUTED_VALUE"""),"УЗК,  АТП  ТУ 14-1-3581 , 2ГП, обточ.")</f>
        <v>УЗК,  АТП  ТУ 14-1-3581 , 2ГП, обточ.</v>
      </c>
      <c r="G534" s="15">
        <f ca="1">IFERROR(__xludf.DUMMYFUNCTION("""COMPUTED_VALUE"""),0.381)</f>
        <v>0.38100000000000001</v>
      </c>
      <c r="H534" s="15"/>
      <c r="I534" s="16">
        <f ca="1">IFERROR(__xludf.DUMMYFUNCTION("""COMPUTED_VALUE"""),1800000)</f>
        <v>1800000</v>
      </c>
    </row>
    <row r="535" spans="2:9" x14ac:dyDescent="0.3">
      <c r="B535" s="12" t="str">
        <f ca="1">IFERROR(__xludf.DUMMYFUNCTION("""COMPUTED_VALUE"""),"Круг")</f>
        <v>Круг</v>
      </c>
      <c r="C535" s="7" t="str">
        <f ca="1">IFERROR(__xludf.DUMMYFUNCTION("""COMPUTED_VALUE"""),"12х18н10т-ВД")</f>
        <v>12х18н10т-ВД</v>
      </c>
      <c r="D535" s="13">
        <f ca="1">IFERROR(__xludf.DUMMYFUNCTION("""COMPUTED_VALUE"""),56)</f>
        <v>56</v>
      </c>
      <c r="E535" s="13"/>
      <c r="F535" s="14" t="str">
        <f ca="1">IFERROR(__xludf.DUMMYFUNCTION("""COMPUTED_VALUE"""),"УЗК,  АТП  ТУ 14-1-3581 , 2ГП, обточ.")</f>
        <v>УЗК,  АТП  ТУ 14-1-3581 , 2ГП, обточ.</v>
      </c>
      <c r="G535" s="15">
        <f ca="1">IFERROR(__xludf.DUMMYFUNCTION("""COMPUTED_VALUE"""),0.765)</f>
        <v>0.76500000000000001</v>
      </c>
      <c r="H535" s="15"/>
      <c r="I535" s="16">
        <f ca="1">IFERROR(__xludf.DUMMYFUNCTION("""COMPUTED_VALUE"""),1800000)</f>
        <v>1800000</v>
      </c>
    </row>
    <row r="536" spans="2:9" x14ac:dyDescent="0.3">
      <c r="B536" s="12" t="str">
        <f ca="1">IFERROR(__xludf.DUMMYFUNCTION("""COMPUTED_VALUE"""),"Круг")</f>
        <v>Круг</v>
      </c>
      <c r="C536" s="7" t="str">
        <f ca="1">IFERROR(__xludf.DUMMYFUNCTION("""COMPUTED_VALUE"""),"12х18н10т-ВД")</f>
        <v>12х18н10т-ВД</v>
      </c>
      <c r="D536" s="13">
        <f ca="1">IFERROR(__xludf.DUMMYFUNCTION("""COMPUTED_VALUE"""),60)</f>
        <v>60</v>
      </c>
      <c r="E536" s="13"/>
      <c r="F536" s="14" t="str">
        <f ca="1">IFERROR(__xludf.DUMMYFUNCTION("""COMPUTED_VALUE"""),"УЗК,  АТП  ТУ 14-1-3581")</f>
        <v>УЗК,  АТП  ТУ 14-1-3581</v>
      </c>
      <c r="G536" s="15">
        <f ca="1">IFERROR(__xludf.DUMMYFUNCTION("""COMPUTED_VALUE"""),0.555999999999999)</f>
        <v>0.55599999999999905</v>
      </c>
      <c r="H536" s="15"/>
      <c r="I536" s="16">
        <f ca="1">IFERROR(__xludf.DUMMYFUNCTION("""COMPUTED_VALUE"""),1800000)</f>
        <v>1800000</v>
      </c>
    </row>
    <row r="537" spans="2:9" x14ac:dyDescent="0.3">
      <c r="B537" s="12" t="str">
        <f ca="1">IFERROR(__xludf.DUMMYFUNCTION("""COMPUTED_VALUE"""),"Круг")</f>
        <v>Круг</v>
      </c>
      <c r="C537" s="7" t="str">
        <f ca="1">IFERROR(__xludf.DUMMYFUNCTION("""COMPUTED_VALUE"""),"12х18н10т-ВД")</f>
        <v>12х18н10т-ВД</v>
      </c>
      <c r="D537" s="13">
        <f ca="1">IFERROR(__xludf.DUMMYFUNCTION("""COMPUTED_VALUE"""),65)</f>
        <v>65</v>
      </c>
      <c r="E537" s="13"/>
      <c r="F537" s="14" t="str">
        <f ca="1">IFERROR(__xludf.DUMMYFUNCTION("""COMPUTED_VALUE"""),"УЗК,  АТП  ТУ 14-1-3581")</f>
        <v>УЗК,  АТП  ТУ 14-1-3581</v>
      </c>
      <c r="G537" s="15">
        <f ca="1">IFERROR(__xludf.DUMMYFUNCTION("""COMPUTED_VALUE"""),1.277)</f>
        <v>1.2769999999999999</v>
      </c>
      <c r="H537" s="15"/>
      <c r="I537" s="16">
        <f ca="1">IFERROR(__xludf.DUMMYFUNCTION("""COMPUTED_VALUE"""),1800000)</f>
        <v>1800000</v>
      </c>
    </row>
    <row r="538" spans="2:9" x14ac:dyDescent="0.3">
      <c r="B538" s="12" t="str">
        <f ca="1">IFERROR(__xludf.DUMMYFUNCTION("""COMPUTED_VALUE"""),"Круг")</f>
        <v>Круг</v>
      </c>
      <c r="C538" s="7" t="str">
        <f ca="1">IFERROR(__xludf.DUMMYFUNCTION("""COMPUTED_VALUE"""),"12х18н10т-ВД")</f>
        <v>12х18н10т-ВД</v>
      </c>
      <c r="D538" s="13">
        <f ca="1">IFERROR(__xludf.DUMMYFUNCTION("""COMPUTED_VALUE"""),70)</f>
        <v>70</v>
      </c>
      <c r="E538" s="13"/>
      <c r="F538" s="14" t="str">
        <f ca="1">IFERROR(__xludf.DUMMYFUNCTION("""COMPUTED_VALUE"""),"УЗК,  АТП  ТУ 14-1-3581")</f>
        <v>УЗК,  АТП  ТУ 14-1-3581</v>
      </c>
      <c r="G538" s="15">
        <f ca="1">IFERROR(__xludf.DUMMYFUNCTION("""COMPUTED_VALUE"""),0.0209999999999999)</f>
        <v>2.0999999999999901E-2</v>
      </c>
      <c r="H538" s="15"/>
      <c r="I538" s="16">
        <f ca="1">IFERROR(__xludf.DUMMYFUNCTION("""COMPUTED_VALUE"""),1800000)</f>
        <v>1800000</v>
      </c>
    </row>
    <row r="539" spans="2:9" x14ac:dyDescent="0.3">
      <c r="B539" s="12" t="str">
        <f ca="1">IFERROR(__xludf.DUMMYFUNCTION("""COMPUTED_VALUE"""),"Круг")</f>
        <v>Круг</v>
      </c>
      <c r="C539" s="7" t="str">
        <f ca="1">IFERROR(__xludf.DUMMYFUNCTION("""COMPUTED_VALUE"""),"12х18н10т-ВД")</f>
        <v>12х18н10т-ВД</v>
      </c>
      <c r="D539" s="13">
        <f ca="1">IFERROR(__xludf.DUMMYFUNCTION("""COMPUTED_VALUE"""),70)</f>
        <v>70</v>
      </c>
      <c r="E539" s="13"/>
      <c r="F539" s="14" t="str">
        <f ca="1">IFERROR(__xludf.DUMMYFUNCTION("""COMPUTED_VALUE"""),"УЗК,  АТП  ТУ 14-1-3581 , 2ГП, обточ.")</f>
        <v>УЗК,  АТП  ТУ 14-1-3581 , 2ГП, обточ.</v>
      </c>
      <c r="G539" s="15">
        <f ca="1">IFERROR(__xludf.DUMMYFUNCTION("""COMPUTED_VALUE"""),0.46)</f>
        <v>0.46</v>
      </c>
      <c r="H539" s="15"/>
      <c r="I539" s="16">
        <f ca="1">IFERROR(__xludf.DUMMYFUNCTION("""COMPUTED_VALUE"""),1600000)</f>
        <v>1600000</v>
      </c>
    </row>
    <row r="540" spans="2:9" x14ac:dyDescent="0.3">
      <c r="B540" s="12" t="str">
        <f ca="1">IFERROR(__xludf.DUMMYFUNCTION("""COMPUTED_VALUE"""),"Круг")</f>
        <v>Круг</v>
      </c>
      <c r="C540" s="7" t="str">
        <f ca="1">IFERROR(__xludf.DUMMYFUNCTION("""COMPUTED_VALUE"""),"12х18н10т-ВД")</f>
        <v>12х18н10т-ВД</v>
      </c>
      <c r="D540" s="13">
        <f ca="1">IFERROR(__xludf.DUMMYFUNCTION("""COMPUTED_VALUE"""),80)</f>
        <v>80</v>
      </c>
      <c r="E540" s="13"/>
      <c r="F540" s="14" t="str">
        <f ca="1">IFERROR(__xludf.DUMMYFUNCTION("""COMPUTED_VALUE"""),"УЗК,  АТП  ТУ 14-1-3581 , 2ГП, обточ.")</f>
        <v>УЗК,  АТП  ТУ 14-1-3581 , 2ГП, обточ.</v>
      </c>
      <c r="G540" s="15">
        <f ca="1">IFERROR(__xludf.DUMMYFUNCTION("""COMPUTED_VALUE"""),0.554999999999999)</f>
        <v>0.55499999999999905</v>
      </c>
      <c r="H540" s="15"/>
      <c r="I540" s="16">
        <f ca="1">IFERROR(__xludf.DUMMYFUNCTION("""COMPUTED_VALUE"""),1600000)</f>
        <v>1600000</v>
      </c>
    </row>
    <row r="541" spans="2:9" x14ac:dyDescent="0.3">
      <c r="B541" s="12" t="str">
        <f ca="1">IFERROR(__xludf.DUMMYFUNCTION("""COMPUTED_VALUE"""),"Круг")</f>
        <v>Круг</v>
      </c>
      <c r="C541" s="7" t="str">
        <f ca="1">IFERROR(__xludf.DUMMYFUNCTION("""COMPUTED_VALUE"""),"12х18н10т-ВД")</f>
        <v>12х18н10т-ВД</v>
      </c>
      <c r="D541" s="13">
        <f ca="1">IFERROR(__xludf.DUMMYFUNCTION("""COMPUTED_VALUE"""),90)</f>
        <v>90</v>
      </c>
      <c r="E541" s="13"/>
      <c r="F541" s="14" t="str">
        <f ca="1">IFERROR(__xludf.DUMMYFUNCTION("""COMPUTED_VALUE"""),"УЗК,  АТП  ТУ 14-1-3581")</f>
        <v>УЗК,  АТП  ТУ 14-1-3581</v>
      </c>
      <c r="G541" s="15">
        <f ca="1">IFERROR(__xludf.DUMMYFUNCTION("""COMPUTED_VALUE"""),0.0100000000000002)</f>
        <v>1.00000000000002E-2</v>
      </c>
      <c r="H541" s="15"/>
      <c r="I541" s="16">
        <f ca="1">IFERROR(__xludf.DUMMYFUNCTION("""COMPUTED_VALUE"""),1800000)</f>
        <v>1800000</v>
      </c>
    </row>
    <row r="542" spans="2:9" x14ac:dyDescent="0.3">
      <c r="B542" s="12" t="str">
        <f ca="1">IFERROR(__xludf.DUMMYFUNCTION("""COMPUTED_VALUE"""),"Круг")</f>
        <v>Круг</v>
      </c>
      <c r="C542" s="7" t="str">
        <f ca="1">IFERROR(__xludf.DUMMYFUNCTION("""COMPUTED_VALUE"""),"12х18н10т-ВД")</f>
        <v>12х18н10т-ВД</v>
      </c>
      <c r="D542" s="13">
        <f ca="1">IFERROR(__xludf.DUMMYFUNCTION("""COMPUTED_VALUE"""),90)</f>
        <v>90</v>
      </c>
      <c r="E542" s="13"/>
      <c r="F542" s="14" t="str">
        <f ca="1">IFERROR(__xludf.DUMMYFUNCTION("""COMPUTED_VALUE"""),"УЗК,  АТП  ТУ 14-1-3581 , 2ГП, обточ.")</f>
        <v>УЗК,  АТП  ТУ 14-1-3581 , 2ГП, обточ.</v>
      </c>
      <c r="G542" s="15">
        <f ca="1">IFERROR(__xludf.DUMMYFUNCTION("""COMPUTED_VALUE"""),0.46)</f>
        <v>0.46</v>
      </c>
      <c r="H542" s="15"/>
      <c r="I542" s="16">
        <f ca="1">IFERROR(__xludf.DUMMYFUNCTION("""COMPUTED_VALUE"""),1600000)</f>
        <v>1600000</v>
      </c>
    </row>
    <row r="543" spans="2:9" x14ac:dyDescent="0.3">
      <c r="B543" s="12" t="str">
        <f ca="1">IFERROR(__xludf.DUMMYFUNCTION("""COMPUTED_VALUE"""),"Круг")</f>
        <v>Круг</v>
      </c>
      <c r="C543" s="7" t="str">
        <f ca="1">IFERROR(__xludf.DUMMYFUNCTION("""COMPUTED_VALUE"""),"12х18н10т-ВД")</f>
        <v>12х18н10т-ВД</v>
      </c>
      <c r="D543" s="13">
        <f ca="1">IFERROR(__xludf.DUMMYFUNCTION("""COMPUTED_VALUE"""),90)</f>
        <v>90</v>
      </c>
      <c r="E543" s="13"/>
      <c r="F543" s="14" t="str">
        <f ca="1">IFERROR(__xludf.DUMMYFUNCTION("""COMPUTED_VALUE"""),"УЗК,  АТП  ТУ 14-1-3581 , 2ГП, обточ.")</f>
        <v>УЗК,  АТП  ТУ 14-1-3581 , 2ГП, обточ.</v>
      </c>
      <c r="G543" s="15">
        <f ca="1">IFERROR(__xludf.DUMMYFUNCTION("""COMPUTED_VALUE"""),1.097)</f>
        <v>1.097</v>
      </c>
      <c r="H543" s="15"/>
      <c r="I543" s="16">
        <f ca="1">IFERROR(__xludf.DUMMYFUNCTION("""COMPUTED_VALUE"""),1600000)</f>
        <v>1600000</v>
      </c>
    </row>
    <row r="544" spans="2:9" x14ac:dyDescent="0.3">
      <c r="B544" s="12" t="str">
        <f ca="1">IFERROR(__xludf.DUMMYFUNCTION("""COMPUTED_VALUE"""),"Круг")</f>
        <v>Круг</v>
      </c>
      <c r="C544" s="7" t="str">
        <f ca="1">IFERROR(__xludf.DUMMYFUNCTION("""COMPUTED_VALUE"""),"12х18н10т-ВД")</f>
        <v>12х18н10т-ВД</v>
      </c>
      <c r="D544" s="13">
        <f ca="1">IFERROR(__xludf.DUMMYFUNCTION("""COMPUTED_VALUE"""),110)</f>
        <v>110</v>
      </c>
      <c r="E544" s="13"/>
      <c r="F544" s="14" t="str">
        <f ca="1">IFERROR(__xludf.DUMMYFUNCTION("""COMPUTED_VALUE"""),"УЗК,  АТП  ТУ 14-1-3581 , 2ГП, обточ.")</f>
        <v>УЗК,  АТП  ТУ 14-1-3581 , 2ГП, обточ.</v>
      </c>
      <c r="G544" s="15">
        <f ca="1">IFERROR(__xludf.DUMMYFUNCTION("""COMPUTED_VALUE"""),0.196999999999999)</f>
        <v>0.19699999999999901</v>
      </c>
      <c r="H544" s="15"/>
      <c r="I544" s="16">
        <f ca="1">IFERROR(__xludf.DUMMYFUNCTION("""COMPUTED_VALUE"""),1600000)</f>
        <v>1600000</v>
      </c>
    </row>
    <row r="545" spans="2:9" x14ac:dyDescent="0.3">
      <c r="B545" s="12" t="str">
        <f ca="1">IFERROR(__xludf.DUMMYFUNCTION("""COMPUTED_VALUE"""),"Круг")</f>
        <v>Круг</v>
      </c>
      <c r="C545" s="7" t="str">
        <f ca="1">IFERROR(__xludf.DUMMYFUNCTION("""COMPUTED_VALUE"""),"12х18н10т-ВД")</f>
        <v>12х18н10т-ВД</v>
      </c>
      <c r="D545" s="13">
        <f ca="1">IFERROR(__xludf.DUMMYFUNCTION("""COMPUTED_VALUE"""),110)</f>
        <v>110</v>
      </c>
      <c r="E545" s="13"/>
      <c r="F545" s="14" t="str">
        <f ca="1">IFERROR(__xludf.DUMMYFUNCTION("""COMPUTED_VALUE"""),"УЗК,  АТП  ТУ 14-1-3581 , 2ГП, обточ.")</f>
        <v>УЗК,  АТП  ТУ 14-1-3581 , 2ГП, обточ.</v>
      </c>
      <c r="G545" s="15">
        <f ca="1">IFERROR(__xludf.DUMMYFUNCTION("""COMPUTED_VALUE"""),0.609)</f>
        <v>0.60899999999999999</v>
      </c>
      <c r="H545" s="15"/>
      <c r="I545" s="16">
        <f ca="1">IFERROR(__xludf.DUMMYFUNCTION("""COMPUTED_VALUE"""),1600000)</f>
        <v>1600000</v>
      </c>
    </row>
    <row r="546" spans="2:9" x14ac:dyDescent="0.3">
      <c r="B546" s="12" t="str">
        <f ca="1">IFERROR(__xludf.DUMMYFUNCTION("""COMPUTED_VALUE"""),"Круг")</f>
        <v>Круг</v>
      </c>
      <c r="C546" s="7" t="str">
        <f ca="1">IFERROR(__xludf.DUMMYFUNCTION("""COMPUTED_VALUE"""),"12х18н10т-ВД")</f>
        <v>12х18н10т-ВД</v>
      </c>
      <c r="D546" s="13">
        <f ca="1">IFERROR(__xludf.DUMMYFUNCTION("""COMPUTED_VALUE"""),130)</f>
        <v>130</v>
      </c>
      <c r="E546" s="13"/>
      <c r="F546" s="14" t="str">
        <f ca="1">IFERROR(__xludf.DUMMYFUNCTION("""COMPUTED_VALUE"""),"УЗК,  АТП  ТУ 14-1-3581")</f>
        <v>УЗК,  АТП  ТУ 14-1-3581</v>
      </c>
      <c r="G546" s="15">
        <f ca="1">IFERROR(__xludf.DUMMYFUNCTION("""COMPUTED_VALUE"""),0.105999999999999)</f>
        <v>0.105999999999999</v>
      </c>
      <c r="H546" s="15"/>
      <c r="I546" s="16">
        <f ca="1">IFERROR(__xludf.DUMMYFUNCTION("""COMPUTED_VALUE"""),1800000)</f>
        <v>1800000</v>
      </c>
    </row>
    <row r="547" spans="2:9" x14ac:dyDescent="0.3">
      <c r="B547" s="12" t="str">
        <f ca="1">IFERROR(__xludf.DUMMYFUNCTION("""COMPUTED_VALUE"""),"Круг")</f>
        <v>Круг</v>
      </c>
      <c r="C547" s="7" t="str">
        <f ca="1">IFERROR(__xludf.DUMMYFUNCTION("""COMPUTED_VALUE"""),"12х18н10т-ВД")</f>
        <v>12х18н10т-ВД</v>
      </c>
      <c r="D547" s="13">
        <f ca="1">IFERROR(__xludf.DUMMYFUNCTION("""COMPUTED_VALUE"""),130)</f>
        <v>130</v>
      </c>
      <c r="E547" s="13"/>
      <c r="F547" s="14" t="str">
        <f ca="1">IFERROR(__xludf.DUMMYFUNCTION("""COMPUTED_VALUE"""),"УЗК,  АТП  ТУ 14-1-3581")</f>
        <v>УЗК,  АТП  ТУ 14-1-3581</v>
      </c>
      <c r="G547" s="15">
        <f ca="1">IFERROR(__xludf.DUMMYFUNCTION("""COMPUTED_VALUE"""),1.945)</f>
        <v>1.9450000000000001</v>
      </c>
      <c r="H547" s="15"/>
      <c r="I547" s="16">
        <f ca="1">IFERROR(__xludf.DUMMYFUNCTION("""COMPUTED_VALUE"""),1800000)</f>
        <v>1800000</v>
      </c>
    </row>
    <row r="548" spans="2:9" x14ac:dyDescent="0.3">
      <c r="B548" s="12" t="str">
        <f ca="1">IFERROR(__xludf.DUMMYFUNCTION("""COMPUTED_VALUE"""),"Круг")</f>
        <v>Круг</v>
      </c>
      <c r="C548" s="7" t="str">
        <f ca="1">IFERROR(__xludf.DUMMYFUNCTION("""COMPUTED_VALUE"""),"12х18н10т-ВД")</f>
        <v>12х18н10т-ВД</v>
      </c>
      <c r="D548" s="13">
        <f ca="1">IFERROR(__xludf.DUMMYFUNCTION("""COMPUTED_VALUE"""),140)</f>
        <v>140</v>
      </c>
      <c r="E548" s="13"/>
      <c r="F548" s="14" t="str">
        <f ca="1">IFERROR(__xludf.DUMMYFUNCTION("""COMPUTED_VALUE"""),"УЗК,  АТП  ТУ 14-1-3581")</f>
        <v>УЗК,  АТП  ТУ 14-1-3581</v>
      </c>
      <c r="G548" s="15">
        <f ca="1">IFERROR(__xludf.DUMMYFUNCTION("""COMPUTED_VALUE"""),0.885)</f>
        <v>0.88500000000000001</v>
      </c>
      <c r="H548" s="15"/>
      <c r="I548" s="16">
        <f ca="1">IFERROR(__xludf.DUMMYFUNCTION("""COMPUTED_VALUE"""),1800000)</f>
        <v>1800000</v>
      </c>
    </row>
    <row r="549" spans="2:9" x14ac:dyDescent="0.3">
      <c r="B549" s="12" t="str">
        <f ca="1">IFERROR(__xludf.DUMMYFUNCTION("""COMPUTED_VALUE"""),"Круг")</f>
        <v>Круг</v>
      </c>
      <c r="C549" s="7" t="str">
        <f ca="1">IFERROR(__xludf.DUMMYFUNCTION("""COMPUTED_VALUE"""),"12х18н10т-ВД")</f>
        <v>12х18н10т-ВД</v>
      </c>
      <c r="D549" s="13">
        <f ca="1">IFERROR(__xludf.DUMMYFUNCTION("""COMPUTED_VALUE"""),140)</f>
        <v>140</v>
      </c>
      <c r="E549" s="13"/>
      <c r="F549" s="14" t="str">
        <f ca="1">IFERROR(__xludf.DUMMYFUNCTION("""COMPUTED_VALUE"""),"УЗК,  АТП  ТУ 14-1-3581")</f>
        <v>УЗК,  АТП  ТУ 14-1-3581</v>
      </c>
      <c r="G549" s="15">
        <f ca="1">IFERROR(__xludf.DUMMYFUNCTION("""COMPUTED_VALUE"""),1.3)</f>
        <v>1.3</v>
      </c>
      <c r="H549" s="15"/>
      <c r="I549" s="16">
        <f ca="1">IFERROR(__xludf.DUMMYFUNCTION("""COMPUTED_VALUE"""),1800000)</f>
        <v>1800000</v>
      </c>
    </row>
    <row r="550" spans="2:9" x14ac:dyDescent="0.3">
      <c r="B550" s="12" t="str">
        <f ca="1">IFERROR(__xludf.DUMMYFUNCTION("""COMPUTED_VALUE"""),"Круг")</f>
        <v>Круг</v>
      </c>
      <c r="C550" s="7" t="str">
        <f ca="1">IFERROR(__xludf.DUMMYFUNCTION("""COMPUTED_VALUE"""),"12х18н10т-ВД")</f>
        <v>12х18н10т-ВД</v>
      </c>
      <c r="D550" s="13">
        <f ca="1">IFERROR(__xludf.DUMMYFUNCTION("""COMPUTED_VALUE"""),140)</f>
        <v>140</v>
      </c>
      <c r="E550" s="13"/>
      <c r="F550" s="14" t="str">
        <f ca="1">IFERROR(__xludf.DUMMYFUNCTION("""COMPUTED_VALUE"""),"УЗК,  АТП  ТУ 14-1-3581 , 2ГП, обточ.")</f>
        <v>УЗК,  АТП  ТУ 14-1-3581 , 2ГП, обточ.</v>
      </c>
      <c r="G550" s="15">
        <f ca="1">IFERROR(__xludf.DUMMYFUNCTION("""COMPUTED_VALUE"""),1.126)</f>
        <v>1.1259999999999999</v>
      </c>
      <c r="H550" s="15"/>
      <c r="I550" s="16">
        <f ca="1">IFERROR(__xludf.DUMMYFUNCTION("""COMPUTED_VALUE"""),1800000)</f>
        <v>1800000</v>
      </c>
    </row>
    <row r="551" spans="2:9" x14ac:dyDescent="0.3">
      <c r="B551" s="12" t="str">
        <f ca="1">IFERROR(__xludf.DUMMYFUNCTION("""COMPUTED_VALUE"""),"Круг")</f>
        <v>Круг</v>
      </c>
      <c r="C551" s="7" t="str">
        <f ca="1">IFERROR(__xludf.DUMMYFUNCTION("""COMPUTED_VALUE"""),"12х18н10т-ВД")</f>
        <v>12х18н10т-ВД</v>
      </c>
      <c r="D551" s="13">
        <f ca="1">IFERROR(__xludf.DUMMYFUNCTION("""COMPUTED_VALUE"""),140)</f>
        <v>140</v>
      </c>
      <c r="E551" s="13"/>
      <c r="F551" s="14" t="str">
        <f ca="1">IFERROR(__xludf.DUMMYFUNCTION("""COMPUTED_VALUE"""),"УЗК,  АТП  ТУ 14-1-3581 , 2ГП, обточ.")</f>
        <v>УЗК,  АТП  ТУ 14-1-3581 , 2ГП, обточ.</v>
      </c>
      <c r="G551" s="15">
        <f ca="1">IFERROR(__xludf.DUMMYFUNCTION("""COMPUTED_VALUE"""),0.374)</f>
        <v>0.374</v>
      </c>
      <c r="H551" s="15"/>
      <c r="I551" s="16">
        <f ca="1">IFERROR(__xludf.DUMMYFUNCTION("""COMPUTED_VALUE"""),1800000)</f>
        <v>1800000</v>
      </c>
    </row>
    <row r="552" spans="2:9" x14ac:dyDescent="0.3">
      <c r="B552" s="12" t="str">
        <f ca="1">IFERROR(__xludf.DUMMYFUNCTION("""COMPUTED_VALUE"""),"Круг")</f>
        <v>Круг</v>
      </c>
      <c r="C552" s="7" t="str">
        <f ca="1">IFERROR(__xludf.DUMMYFUNCTION("""COMPUTED_VALUE"""),"12х18н10т-ВД")</f>
        <v>12х18н10т-ВД</v>
      </c>
      <c r="D552" s="13">
        <f ca="1">IFERROR(__xludf.DUMMYFUNCTION("""COMPUTED_VALUE"""),160)</f>
        <v>160</v>
      </c>
      <c r="E552" s="13"/>
      <c r="F552" s="14" t="str">
        <f ca="1">IFERROR(__xludf.DUMMYFUNCTION("""COMPUTED_VALUE"""),"УЗК,  АТП  ТУ 14-1-3581 , 2ГП, обточ.")</f>
        <v>УЗК,  АТП  ТУ 14-1-3581 , 2ГП, обточ.</v>
      </c>
      <c r="G552" s="15">
        <f ca="1">IFERROR(__xludf.DUMMYFUNCTION("""COMPUTED_VALUE"""),0.917)</f>
        <v>0.91700000000000004</v>
      </c>
      <c r="H552" s="15"/>
      <c r="I552" s="16">
        <f ca="1">IFERROR(__xludf.DUMMYFUNCTION("""COMPUTED_VALUE"""),1600000)</f>
        <v>1600000</v>
      </c>
    </row>
    <row r="553" spans="2:9" x14ac:dyDescent="0.3">
      <c r="B553" s="12" t="str">
        <f ca="1">IFERROR(__xludf.DUMMYFUNCTION("""COMPUTED_VALUE"""),"Круг")</f>
        <v>Круг</v>
      </c>
      <c r="C553" s="7" t="str">
        <f ca="1">IFERROR(__xludf.DUMMYFUNCTION("""COMPUTED_VALUE"""),"12х18н10т-ВД")</f>
        <v>12х18н10т-ВД</v>
      </c>
      <c r="D553" s="13">
        <f ca="1">IFERROR(__xludf.DUMMYFUNCTION("""COMPUTED_VALUE"""),160)</f>
        <v>160</v>
      </c>
      <c r="E553" s="13"/>
      <c r="F553" s="14" t="str">
        <f ca="1">IFERROR(__xludf.DUMMYFUNCTION("""COMPUTED_VALUE"""),"УЗК,  АТП  ТУ 14-1-3581 , 2ГП, обточ.")</f>
        <v>УЗК,  АТП  ТУ 14-1-3581 , 2ГП, обточ.</v>
      </c>
      <c r="G553" s="15">
        <f ca="1">IFERROR(__xludf.DUMMYFUNCTION("""COMPUTED_VALUE"""),0.536)</f>
        <v>0.53600000000000003</v>
      </c>
      <c r="H553" s="15"/>
      <c r="I553" s="16">
        <f ca="1">IFERROR(__xludf.DUMMYFUNCTION("""COMPUTED_VALUE"""),1600000)</f>
        <v>1600000</v>
      </c>
    </row>
    <row r="554" spans="2:9" x14ac:dyDescent="0.3">
      <c r="B554" s="12" t="str">
        <f ca="1">IFERROR(__xludf.DUMMYFUNCTION("""COMPUTED_VALUE"""),"Круг")</f>
        <v>Круг</v>
      </c>
      <c r="C554" s="7" t="str">
        <f ca="1">IFERROR(__xludf.DUMMYFUNCTION("""COMPUTED_VALUE"""),"12х18н10т-ВД")</f>
        <v>12х18н10т-ВД</v>
      </c>
      <c r="D554" s="13">
        <f ca="1">IFERROR(__xludf.DUMMYFUNCTION("""COMPUTED_VALUE"""),200)</f>
        <v>200</v>
      </c>
      <c r="E554" s="13"/>
      <c r="F554" s="14" t="str">
        <f ca="1">IFERROR(__xludf.DUMMYFUNCTION("""COMPUTED_VALUE"""),"УЗК,  АТП  ТУ 14-1-3581 , 2ГП, обточ.")</f>
        <v>УЗК,  АТП  ТУ 14-1-3581 , 2ГП, обточ.</v>
      </c>
      <c r="G554" s="15">
        <f ca="1">IFERROR(__xludf.DUMMYFUNCTION("""COMPUTED_VALUE"""),0.788999999999999)</f>
        <v>0.78899999999999904</v>
      </c>
      <c r="H554" s="15"/>
      <c r="I554" s="16">
        <f ca="1">IFERROR(__xludf.DUMMYFUNCTION("""COMPUTED_VALUE"""),1600000)</f>
        <v>1600000</v>
      </c>
    </row>
    <row r="555" spans="2:9" x14ac:dyDescent="0.3">
      <c r="B555" s="12" t="str">
        <f ca="1">IFERROR(__xludf.DUMMYFUNCTION("""COMPUTED_VALUE"""),"Круг")</f>
        <v>Круг</v>
      </c>
      <c r="C555" s="7" t="str">
        <f ca="1">IFERROR(__xludf.DUMMYFUNCTION("""COMPUTED_VALUE"""),"12х18н10т-ВД")</f>
        <v>12х18н10т-ВД</v>
      </c>
      <c r="D555" s="13">
        <f ca="1">IFERROR(__xludf.DUMMYFUNCTION("""COMPUTED_VALUE"""),200)</f>
        <v>200</v>
      </c>
      <c r="E555" s="13"/>
      <c r="F555" s="14" t="str">
        <f ca="1">IFERROR(__xludf.DUMMYFUNCTION("""COMPUTED_VALUE"""),"УЗК,  АТП  ТУ 14-1-3581 , 2ГП, обточ.")</f>
        <v>УЗК,  АТП  ТУ 14-1-3581 , 2ГП, обточ.</v>
      </c>
      <c r="G555" s="15">
        <f ca="1">IFERROR(__xludf.DUMMYFUNCTION("""COMPUTED_VALUE"""),0.8)</f>
        <v>0.8</v>
      </c>
      <c r="H555" s="15"/>
      <c r="I555" s="16">
        <f ca="1">IFERROR(__xludf.DUMMYFUNCTION("""COMPUTED_VALUE"""),1600000)</f>
        <v>1600000</v>
      </c>
    </row>
    <row r="556" spans="2:9" x14ac:dyDescent="0.3">
      <c r="B556" s="12" t="str">
        <f ca="1">IFERROR(__xludf.DUMMYFUNCTION("""COMPUTED_VALUE"""),"Круг")</f>
        <v>Круг</v>
      </c>
      <c r="C556" s="7" t="str">
        <f ca="1">IFERROR(__xludf.DUMMYFUNCTION("""COMPUTED_VALUE"""),"12х18н10т-ВД")</f>
        <v>12х18н10т-ВД</v>
      </c>
      <c r="D556" s="13">
        <f ca="1">IFERROR(__xludf.DUMMYFUNCTION("""COMPUTED_VALUE"""),250)</f>
        <v>250</v>
      </c>
      <c r="E556" s="13"/>
      <c r="F556" s="14" t="str">
        <f ca="1">IFERROR(__xludf.DUMMYFUNCTION("""COMPUTED_VALUE"""),"УЗК, МКК, АТП  ТУ 14-1-3581")</f>
        <v>УЗК, МКК, АТП  ТУ 14-1-3581</v>
      </c>
      <c r="G556" s="15">
        <f ca="1">IFERROR(__xludf.DUMMYFUNCTION("""COMPUTED_VALUE"""),1.29)</f>
        <v>1.29</v>
      </c>
      <c r="H556" s="15"/>
      <c r="I556" s="16">
        <f ca="1">IFERROR(__xludf.DUMMYFUNCTION("""COMPUTED_VALUE"""),2000000)</f>
        <v>2000000</v>
      </c>
    </row>
    <row r="557" spans="2:9" x14ac:dyDescent="0.3">
      <c r="B557" s="12" t="str">
        <f ca="1">IFERROR(__xludf.DUMMYFUNCTION("""COMPUTED_VALUE"""),"Круг")</f>
        <v>Круг</v>
      </c>
      <c r="C557" s="7" t="str">
        <f ca="1">IFERROR(__xludf.DUMMYFUNCTION("""COMPUTED_VALUE"""),"12х18н10т-ВД")</f>
        <v>12х18н10т-ВД</v>
      </c>
      <c r="D557" s="13">
        <f ca="1">IFERROR(__xludf.DUMMYFUNCTION("""COMPUTED_VALUE"""),250)</f>
        <v>250</v>
      </c>
      <c r="E557" s="13"/>
      <c r="F557" s="14" t="str">
        <f ca="1">IFERROR(__xludf.DUMMYFUNCTION("""COMPUTED_VALUE"""),"УЗК, МКК, АТП  ТУ 14-1-3581")</f>
        <v>УЗК, МКК, АТП  ТУ 14-1-3581</v>
      </c>
      <c r="G557" s="15">
        <f ca="1">IFERROR(__xludf.DUMMYFUNCTION("""COMPUTED_VALUE"""),0.711999999999999)</f>
        <v>0.71199999999999897</v>
      </c>
      <c r="H557" s="15"/>
      <c r="I557" s="16">
        <f ca="1">IFERROR(__xludf.DUMMYFUNCTION("""COMPUTED_VALUE"""),2000000)</f>
        <v>2000000</v>
      </c>
    </row>
    <row r="558" spans="2:9" x14ac:dyDescent="0.3">
      <c r="B558" s="12" t="str">
        <f ca="1">IFERROR(__xludf.DUMMYFUNCTION("""COMPUTED_VALUE"""),"круг")</f>
        <v>круг</v>
      </c>
      <c r="C558" s="7" t="str">
        <f ca="1">IFERROR(__xludf.DUMMYFUNCTION("""COMPUTED_VALUE"""),"13Х15Н4АМ3-ш (ЭП 310ш)")</f>
        <v>13Х15Н4АМ3-ш (ЭП 310ш)</v>
      </c>
      <c r="D558" s="13">
        <f ca="1">IFERROR(__xludf.DUMMYFUNCTION("""COMPUTED_VALUE"""),16)</f>
        <v>16</v>
      </c>
      <c r="E558" s="13"/>
      <c r="F558" s="14" t="str">
        <f ca="1">IFERROR(__xludf.DUMMYFUNCTION("""COMPUTED_VALUE"""),"ТУ 14-1-940-74/ГОСТ 2590-2006, УЗК, отжиг, РТТ ll, В1")</f>
        <v>ТУ 14-1-940-74/ГОСТ 2590-2006, УЗК, отжиг, РТТ ll, В1</v>
      </c>
      <c r="G558" s="15">
        <f ca="1">IFERROR(__xludf.DUMMYFUNCTION("""COMPUTED_VALUE"""),0.196)</f>
        <v>0.19600000000000001</v>
      </c>
      <c r="H558" s="15"/>
      <c r="I558" s="16">
        <f ca="1">IFERROR(__xludf.DUMMYFUNCTION("""COMPUTED_VALUE"""),1450000)</f>
        <v>1450000</v>
      </c>
    </row>
    <row r="559" spans="2:9" x14ac:dyDescent="0.3">
      <c r="B559" s="12" t="str">
        <f ca="1">IFERROR(__xludf.DUMMYFUNCTION("""COMPUTED_VALUE"""),"круг")</f>
        <v>круг</v>
      </c>
      <c r="C559" s="7" t="str">
        <f ca="1">IFERROR(__xludf.DUMMYFUNCTION("""COMPUTED_VALUE"""),"13Х15Н4АМ3-ш (ЭП 310ш)")</f>
        <v>13Х15Н4АМ3-ш (ЭП 310ш)</v>
      </c>
      <c r="D559" s="13">
        <f ca="1">IFERROR(__xludf.DUMMYFUNCTION("""COMPUTED_VALUE"""),25)</f>
        <v>25</v>
      </c>
      <c r="E559" s="13"/>
      <c r="F559" s="14" t="str">
        <f ca="1">IFERROR(__xludf.DUMMYFUNCTION("""COMPUTED_VALUE"""),"ТУ 14-1-940-74/ГОСТ 2590-2006, УЗК, отжиг, РТТ ll, В1")</f>
        <v>ТУ 14-1-940-74/ГОСТ 2590-2006, УЗК, отжиг, РТТ ll, В1</v>
      </c>
      <c r="G559" s="15">
        <f ca="1">IFERROR(__xludf.DUMMYFUNCTION("""COMPUTED_VALUE"""),0.018)</f>
        <v>1.7999999999999999E-2</v>
      </c>
      <c r="H559" s="15"/>
      <c r="I559" s="16">
        <f ca="1">IFERROR(__xludf.DUMMYFUNCTION("""COMPUTED_VALUE"""),1450000)</f>
        <v>1450000</v>
      </c>
    </row>
    <row r="560" spans="2:9" x14ac:dyDescent="0.3">
      <c r="B560" s="12" t="str">
        <f ca="1">IFERROR(__xludf.DUMMYFUNCTION("""COMPUTED_VALUE"""),"круг")</f>
        <v>круг</v>
      </c>
      <c r="C560" s="7" t="str">
        <f ca="1">IFERROR(__xludf.DUMMYFUNCTION("""COMPUTED_VALUE"""),"13Х15Н4АМ3-ш (ЭП 310ш)")</f>
        <v>13Х15Н4АМ3-ш (ЭП 310ш)</v>
      </c>
      <c r="D560" s="13">
        <f ca="1">IFERROR(__xludf.DUMMYFUNCTION("""COMPUTED_VALUE"""),30)</f>
        <v>30</v>
      </c>
      <c r="E560" s="13"/>
      <c r="F560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0" s="15">
        <f ca="1">IFERROR(__xludf.DUMMYFUNCTION("""COMPUTED_VALUE"""),0.0289999999999999)</f>
        <v>2.8999999999999901E-2</v>
      </c>
      <c r="H560" s="15"/>
      <c r="I560" s="16">
        <f ca="1">IFERROR(__xludf.DUMMYFUNCTION("""COMPUTED_VALUE"""),1100000)</f>
        <v>1100000</v>
      </c>
    </row>
    <row r="561" spans="2:9" x14ac:dyDescent="0.3">
      <c r="B561" s="12" t="str">
        <f ca="1">IFERROR(__xludf.DUMMYFUNCTION("""COMPUTED_VALUE"""),"круг")</f>
        <v>круг</v>
      </c>
      <c r="C561" s="7" t="str">
        <f ca="1">IFERROR(__xludf.DUMMYFUNCTION("""COMPUTED_VALUE"""),"13Х15Н4АМ3-ш (ЭП 310ш)")</f>
        <v>13Х15Н4АМ3-ш (ЭП 310ш)</v>
      </c>
      <c r="D561" s="13">
        <f ca="1">IFERROR(__xludf.DUMMYFUNCTION("""COMPUTED_VALUE"""),30)</f>
        <v>30</v>
      </c>
      <c r="E561" s="13"/>
      <c r="F561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1" s="15">
        <f ca="1">IFERROR(__xludf.DUMMYFUNCTION("""COMPUTED_VALUE"""),0.832)</f>
        <v>0.83199999999999996</v>
      </c>
      <c r="H561" s="15"/>
      <c r="I561" s="16">
        <f ca="1">IFERROR(__xludf.DUMMYFUNCTION("""COMPUTED_VALUE"""),1100000)</f>
        <v>1100000</v>
      </c>
    </row>
    <row r="562" spans="2:9" x14ac:dyDescent="0.3">
      <c r="B562" s="12" t="str">
        <f ca="1">IFERROR(__xludf.DUMMYFUNCTION("""COMPUTED_VALUE"""),"круг")</f>
        <v>круг</v>
      </c>
      <c r="C562" s="7" t="str">
        <f ca="1">IFERROR(__xludf.DUMMYFUNCTION("""COMPUTED_VALUE"""),"13Х15Н4АМ3-ш (ЭП 310ш)")</f>
        <v>13Х15Н4АМ3-ш (ЭП 310ш)</v>
      </c>
      <c r="D562" s="13">
        <f ca="1">IFERROR(__xludf.DUMMYFUNCTION("""COMPUTED_VALUE"""),32)</f>
        <v>32</v>
      </c>
      <c r="E562" s="13"/>
      <c r="F562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2" s="15">
        <f ca="1">IFERROR(__xludf.DUMMYFUNCTION("""COMPUTED_VALUE"""),0.688)</f>
        <v>0.68799999999999994</v>
      </c>
      <c r="H562" s="15"/>
      <c r="I562" s="16">
        <f ca="1">IFERROR(__xludf.DUMMYFUNCTION("""COMPUTED_VALUE"""),1100000)</f>
        <v>1100000</v>
      </c>
    </row>
    <row r="563" spans="2:9" x14ac:dyDescent="0.3">
      <c r="B563" s="12" t="str">
        <f ca="1">IFERROR(__xludf.DUMMYFUNCTION("""COMPUTED_VALUE"""),"круг")</f>
        <v>круг</v>
      </c>
      <c r="C563" s="7" t="str">
        <f ca="1">IFERROR(__xludf.DUMMYFUNCTION("""COMPUTED_VALUE"""),"13Х15Н4АМ3-ш (ЭП 310ш)")</f>
        <v>13Х15Н4АМ3-ш (ЭП 310ш)</v>
      </c>
      <c r="D563" s="13">
        <f ca="1">IFERROR(__xludf.DUMMYFUNCTION("""COMPUTED_VALUE"""),36)</f>
        <v>36</v>
      </c>
      <c r="E563" s="13"/>
      <c r="F563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3" s="15">
        <f ca="1">IFERROR(__xludf.DUMMYFUNCTION("""COMPUTED_VALUE"""),1.253)</f>
        <v>1.2529999999999999</v>
      </c>
      <c r="H563" s="15"/>
      <c r="I563" s="16">
        <f ca="1">IFERROR(__xludf.DUMMYFUNCTION("""COMPUTED_VALUE"""),1100000)</f>
        <v>1100000</v>
      </c>
    </row>
    <row r="564" spans="2:9" x14ac:dyDescent="0.3">
      <c r="B564" s="12" t="str">
        <f ca="1">IFERROR(__xludf.DUMMYFUNCTION("""COMPUTED_VALUE"""),"круг")</f>
        <v>круг</v>
      </c>
      <c r="C564" s="7" t="str">
        <f ca="1">IFERROR(__xludf.DUMMYFUNCTION("""COMPUTED_VALUE"""),"13Х15Н4АМ3-ш (ЭП 310ш)")</f>
        <v>13Х15Н4АМ3-ш (ЭП 310ш)</v>
      </c>
      <c r="D564" s="13">
        <f ca="1">IFERROR(__xludf.DUMMYFUNCTION("""COMPUTED_VALUE"""),38)</f>
        <v>38</v>
      </c>
      <c r="E564" s="13"/>
      <c r="F564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4" s="15">
        <f ca="1">IFERROR(__xludf.DUMMYFUNCTION("""COMPUTED_VALUE"""),0.572)</f>
        <v>0.57199999999999995</v>
      </c>
      <c r="H564" s="15"/>
      <c r="I564" s="16">
        <f ca="1">IFERROR(__xludf.DUMMYFUNCTION("""COMPUTED_VALUE"""),1100000)</f>
        <v>1100000</v>
      </c>
    </row>
    <row r="565" spans="2:9" x14ac:dyDescent="0.3">
      <c r="B565" s="12" t="str">
        <f ca="1">IFERROR(__xludf.DUMMYFUNCTION("""COMPUTED_VALUE"""),"круг")</f>
        <v>круг</v>
      </c>
      <c r="C565" s="7" t="str">
        <f ca="1">IFERROR(__xludf.DUMMYFUNCTION("""COMPUTED_VALUE"""),"13Х15Н4АМ3-ш (ЭП 310ш)")</f>
        <v>13Х15Н4АМ3-ш (ЭП 310ш)</v>
      </c>
      <c r="D565" s="13">
        <f ca="1">IFERROR(__xludf.DUMMYFUNCTION("""COMPUTED_VALUE"""),40)</f>
        <v>40</v>
      </c>
      <c r="E565" s="13"/>
      <c r="F565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5" s="15">
        <f ca="1">IFERROR(__xludf.DUMMYFUNCTION("""COMPUTED_VALUE"""),0.644)</f>
        <v>0.64400000000000002</v>
      </c>
      <c r="H565" s="15"/>
      <c r="I565" s="16">
        <f ca="1">IFERROR(__xludf.DUMMYFUNCTION("""COMPUTED_VALUE"""),1100000)</f>
        <v>1100000</v>
      </c>
    </row>
    <row r="566" spans="2:9" x14ac:dyDescent="0.3">
      <c r="B566" s="12" t="str">
        <f ca="1">IFERROR(__xludf.DUMMYFUNCTION("""COMPUTED_VALUE"""),"круг")</f>
        <v>круг</v>
      </c>
      <c r="C566" s="7" t="str">
        <f ca="1">IFERROR(__xludf.DUMMYFUNCTION("""COMPUTED_VALUE"""),"13Х15Н4АМ3-ш (ЭП 310ш)")</f>
        <v>13Х15Н4АМ3-ш (ЭП 310ш)</v>
      </c>
      <c r="D566" s="13">
        <f ca="1">IFERROR(__xludf.DUMMYFUNCTION("""COMPUTED_VALUE"""),42)</f>
        <v>42</v>
      </c>
      <c r="E566" s="13"/>
      <c r="F566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6" s="15">
        <f ca="1">IFERROR(__xludf.DUMMYFUNCTION("""COMPUTED_VALUE"""),0.762)</f>
        <v>0.76200000000000001</v>
      </c>
      <c r="H566" s="15"/>
      <c r="I566" s="16">
        <f ca="1">IFERROR(__xludf.DUMMYFUNCTION("""COMPUTED_VALUE"""),1100000)</f>
        <v>1100000</v>
      </c>
    </row>
    <row r="567" spans="2:9" x14ac:dyDescent="0.3">
      <c r="B567" s="12" t="str">
        <f ca="1">IFERROR(__xludf.DUMMYFUNCTION("""COMPUTED_VALUE"""),"круг")</f>
        <v>круг</v>
      </c>
      <c r="C567" s="7" t="str">
        <f ca="1">IFERROR(__xludf.DUMMYFUNCTION("""COMPUTED_VALUE"""),"13Х15Н4АМ3-ш (ЭП 310ш)")</f>
        <v>13Х15Н4АМ3-ш (ЭП 310ш)</v>
      </c>
      <c r="D567" s="13">
        <f ca="1">IFERROR(__xludf.DUMMYFUNCTION("""COMPUTED_VALUE"""),42)</f>
        <v>42</v>
      </c>
      <c r="E567" s="13"/>
      <c r="F567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7" s="15">
        <f ca="1">IFERROR(__xludf.DUMMYFUNCTION("""COMPUTED_VALUE"""),0.272)</f>
        <v>0.27200000000000002</v>
      </c>
      <c r="H567" s="15"/>
      <c r="I567" s="16">
        <f ca="1">IFERROR(__xludf.DUMMYFUNCTION("""COMPUTED_VALUE"""),1100000)</f>
        <v>1100000</v>
      </c>
    </row>
    <row r="568" spans="2:9" x14ac:dyDescent="0.3">
      <c r="B568" s="12" t="str">
        <f ca="1">IFERROR(__xludf.DUMMYFUNCTION("""COMPUTED_VALUE"""),"круг")</f>
        <v>круг</v>
      </c>
      <c r="C568" s="7" t="str">
        <f ca="1">IFERROR(__xludf.DUMMYFUNCTION("""COMPUTED_VALUE"""),"13Х15Н4АМ3-ш (ЭП 310ш)")</f>
        <v>13Х15Н4АМ3-ш (ЭП 310ш)</v>
      </c>
      <c r="D568" s="13">
        <f ca="1">IFERROR(__xludf.DUMMYFUNCTION("""COMPUTED_VALUE"""),45)</f>
        <v>45</v>
      </c>
      <c r="E568" s="13"/>
      <c r="F568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8" s="15">
        <f ca="1">IFERROR(__xludf.DUMMYFUNCTION("""COMPUTED_VALUE"""),0.377)</f>
        <v>0.377</v>
      </c>
      <c r="H568" s="15"/>
      <c r="I568" s="16">
        <f ca="1">IFERROR(__xludf.DUMMYFUNCTION("""COMPUTED_VALUE"""),1100000)</f>
        <v>1100000</v>
      </c>
    </row>
    <row r="569" spans="2:9" x14ac:dyDescent="0.3">
      <c r="B569" s="12" t="str">
        <f ca="1">IFERROR(__xludf.DUMMYFUNCTION("""COMPUTED_VALUE"""),"круг")</f>
        <v>круг</v>
      </c>
      <c r="C569" s="7" t="str">
        <f ca="1">IFERROR(__xludf.DUMMYFUNCTION("""COMPUTED_VALUE"""),"13Х15Н4АМ3-ш (ЭП 310ш)")</f>
        <v>13Х15Н4АМ3-ш (ЭП 310ш)</v>
      </c>
      <c r="D569" s="13">
        <f ca="1">IFERROR(__xludf.DUMMYFUNCTION("""COMPUTED_VALUE"""),45)</f>
        <v>45</v>
      </c>
      <c r="E569" s="13"/>
      <c r="F569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9" s="15">
        <f ca="1">IFERROR(__xludf.DUMMYFUNCTION("""COMPUTED_VALUE"""),0.636)</f>
        <v>0.63600000000000001</v>
      </c>
      <c r="H569" s="15"/>
      <c r="I569" s="16">
        <f ca="1">IFERROR(__xludf.DUMMYFUNCTION("""COMPUTED_VALUE"""),1100000)</f>
        <v>1100000</v>
      </c>
    </row>
    <row r="570" spans="2:9" x14ac:dyDescent="0.3">
      <c r="B570" s="12" t="str">
        <f ca="1">IFERROR(__xludf.DUMMYFUNCTION("""COMPUTED_VALUE"""),"круг")</f>
        <v>круг</v>
      </c>
      <c r="C570" s="7" t="str">
        <f ca="1">IFERROR(__xludf.DUMMYFUNCTION("""COMPUTED_VALUE"""),"13Х15Н4АМ3-ш (ЭП 310ш)")</f>
        <v>13Х15Н4АМ3-ш (ЭП 310ш)</v>
      </c>
      <c r="D570" s="13">
        <f ca="1">IFERROR(__xludf.DUMMYFUNCTION("""COMPUTED_VALUE"""),48)</f>
        <v>48</v>
      </c>
      <c r="E570" s="13"/>
      <c r="F570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0" s="15">
        <f ca="1">IFERROR(__xludf.DUMMYFUNCTION("""COMPUTED_VALUE"""),0.885)</f>
        <v>0.88500000000000001</v>
      </c>
      <c r="H570" s="15"/>
      <c r="I570" s="16">
        <f ca="1">IFERROR(__xludf.DUMMYFUNCTION("""COMPUTED_VALUE"""),1100000)</f>
        <v>1100000</v>
      </c>
    </row>
    <row r="571" spans="2:9" x14ac:dyDescent="0.3">
      <c r="B571" s="12" t="str">
        <f ca="1">IFERROR(__xludf.DUMMYFUNCTION("""COMPUTED_VALUE"""),"круг")</f>
        <v>круг</v>
      </c>
      <c r="C571" s="7" t="str">
        <f ca="1">IFERROR(__xludf.DUMMYFUNCTION("""COMPUTED_VALUE"""),"13Х15Н4АМ3-ш (ЭП 310ш)")</f>
        <v>13Х15Н4АМ3-ш (ЭП 310ш)</v>
      </c>
      <c r="D571" s="13">
        <f ca="1">IFERROR(__xludf.DUMMYFUNCTION("""COMPUTED_VALUE"""),50)</f>
        <v>50</v>
      </c>
      <c r="E571" s="13"/>
      <c r="F571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1" s="15">
        <f ca="1">IFERROR(__xludf.DUMMYFUNCTION("""COMPUTED_VALUE"""),0.173)</f>
        <v>0.17299999999999999</v>
      </c>
      <c r="H571" s="15"/>
      <c r="I571" s="16">
        <f ca="1">IFERROR(__xludf.DUMMYFUNCTION("""COMPUTED_VALUE"""),1100000)</f>
        <v>1100000</v>
      </c>
    </row>
    <row r="572" spans="2:9" x14ac:dyDescent="0.3">
      <c r="B572" s="12" t="str">
        <f ca="1">IFERROR(__xludf.DUMMYFUNCTION("""COMPUTED_VALUE"""),"круг")</f>
        <v>круг</v>
      </c>
      <c r="C572" s="7" t="str">
        <f ca="1">IFERROR(__xludf.DUMMYFUNCTION("""COMPUTED_VALUE"""),"13Х15Н4АМ3-ш (ЭП 310ш)")</f>
        <v>13Х15Н4АМ3-ш (ЭП 310ш)</v>
      </c>
      <c r="D572" s="13">
        <f ca="1">IFERROR(__xludf.DUMMYFUNCTION("""COMPUTED_VALUE"""),50)</f>
        <v>50</v>
      </c>
      <c r="E572" s="13"/>
      <c r="F572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2" s="15">
        <f ca="1">IFERROR(__xludf.DUMMYFUNCTION("""COMPUTED_VALUE"""),0.905)</f>
        <v>0.90500000000000003</v>
      </c>
      <c r="H572" s="15"/>
      <c r="I572" s="16">
        <f ca="1">IFERROR(__xludf.DUMMYFUNCTION("""COMPUTED_VALUE"""),1100000)</f>
        <v>1100000</v>
      </c>
    </row>
    <row r="573" spans="2:9" x14ac:dyDescent="0.3">
      <c r="B573" s="12" t="str">
        <f ca="1">IFERROR(__xludf.DUMMYFUNCTION("""COMPUTED_VALUE"""),"круг")</f>
        <v>круг</v>
      </c>
      <c r="C573" s="7" t="str">
        <f ca="1">IFERROR(__xludf.DUMMYFUNCTION("""COMPUTED_VALUE"""),"13Х15Н4АМ3-ш (ЭП 310ш)")</f>
        <v>13Х15Н4АМ3-ш (ЭП 310ш)</v>
      </c>
      <c r="D573" s="13">
        <f ca="1">IFERROR(__xludf.DUMMYFUNCTION("""COMPUTED_VALUE"""),50)</f>
        <v>50</v>
      </c>
      <c r="E573" s="13"/>
      <c r="F573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3" s="15">
        <f ca="1">IFERROR(__xludf.DUMMYFUNCTION("""COMPUTED_VALUE"""),0.19)</f>
        <v>0.19</v>
      </c>
      <c r="H573" s="15"/>
      <c r="I573" s="16">
        <f ca="1">IFERROR(__xludf.DUMMYFUNCTION("""COMPUTED_VALUE"""),1100000)</f>
        <v>1100000</v>
      </c>
    </row>
    <row r="574" spans="2:9" x14ac:dyDescent="0.3">
      <c r="B574" s="12" t="str">
        <f ca="1">IFERROR(__xludf.DUMMYFUNCTION("""COMPUTED_VALUE"""),"круг")</f>
        <v>круг</v>
      </c>
      <c r="C574" s="7" t="str">
        <f ca="1">IFERROR(__xludf.DUMMYFUNCTION("""COMPUTED_VALUE"""),"13Х15Н4АМ3-ш (ЭП 310ш)")</f>
        <v>13Х15Н4АМ3-ш (ЭП 310ш)</v>
      </c>
      <c r="D574" s="13">
        <f ca="1">IFERROR(__xludf.DUMMYFUNCTION("""COMPUTED_VALUE"""),56)</f>
        <v>56</v>
      </c>
      <c r="E574" s="13"/>
      <c r="F574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4" s="15">
        <f ca="1">IFERROR(__xludf.DUMMYFUNCTION("""COMPUTED_VALUE"""),1.92)</f>
        <v>1.92</v>
      </c>
      <c r="H574" s="15"/>
      <c r="I574" s="16">
        <f ca="1">IFERROR(__xludf.DUMMYFUNCTION("""COMPUTED_VALUE"""),1100000)</f>
        <v>1100000</v>
      </c>
    </row>
    <row r="575" spans="2:9" x14ac:dyDescent="0.3">
      <c r="B575" s="12" t="str">
        <f ca="1">IFERROR(__xludf.DUMMYFUNCTION("""COMPUTED_VALUE"""),"круг")</f>
        <v>круг</v>
      </c>
      <c r="C575" s="7" t="str">
        <f ca="1">IFERROR(__xludf.DUMMYFUNCTION("""COMPUTED_VALUE"""),"13Х15Н4АМ3-ш (ЭП 310ш)")</f>
        <v>13Х15Н4АМ3-ш (ЭП 310ш)</v>
      </c>
      <c r="D575" s="13">
        <f ca="1">IFERROR(__xludf.DUMMYFUNCTION("""COMPUTED_VALUE"""),60)</f>
        <v>60</v>
      </c>
      <c r="E575" s="13"/>
      <c r="F575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5" s="15">
        <f ca="1">IFERROR(__xludf.DUMMYFUNCTION("""COMPUTED_VALUE"""),0.539)</f>
        <v>0.53900000000000003</v>
      </c>
      <c r="H575" s="15"/>
      <c r="I575" s="16">
        <f ca="1">IFERROR(__xludf.DUMMYFUNCTION("""COMPUTED_VALUE"""),1100000)</f>
        <v>1100000</v>
      </c>
    </row>
    <row r="576" spans="2:9" x14ac:dyDescent="0.3">
      <c r="B576" s="12" t="str">
        <f ca="1">IFERROR(__xludf.DUMMYFUNCTION("""COMPUTED_VALUE"""),"круг")</f>
        <v>круг</v>
      </c>
      <c r="C576" s="7" t="str">
        <f ca="1">IFERROR(__xludf.DUMMYFUNCTION("""COMPUTED_VALUE"""),"13Х15Н4АМ3-ш (ЭП 310ш)")</f>
        <v>13Х15Н4АМ3-ш (ЭП 310ш)</v>
      </c>
      <c r="D576" s="13">
        <f ca="1">IFERROR(__xludf.DUMMYFUNCTION("""COMPUTED_VALUE"""),65)</f>
        <v>65</v>
      </c>
      <c r="E576" s="13"/>
      <c r="F576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6" s="15">
        <f ca="1">IFERROR(__xludf.DUMMYFUNCTION("""COMPUTED_VALUE"""),0.128)</f>
        <v>0.128</v>
      </c>
      <c r="H576" s="15"/>
      <c r="I576" s="16">
        <f ca="1">IFERROR(__xludf.DUMMYFUNCTION("""COMPUTED_VALUE"""),1100000)</f>
        <v>1100000</v>
      </c>
    </row>
    <row r="577" spans="2:9" x14ac:dyDescent="0.3">
      <c r="B577" s="12" t="str">
        <f ca="1">IFERROR(__xludf.DUMMYFUNCTION("""COMPUTED_VALUE"""),"круг")</f>
        <v>круг</v>
      </c>
      <c r="C577" s="7" t="str">
        <f ca="1">IFERROR(__xludf.DUMMYFUNCTION("""COMPUTED_VALUE"""),"13Х15Н4АМ3-ш (ЭП 310ш)")</f>
        <v>13Х15Н4АМ3-ш (ЭП 310ш)</v>
      </c>
      <c r="D577" s="13">
        <f ca="1">IFERROR(__xludf.DUMMYFUNCTION("""COMPUTED_VALUE"""),65)</f>
        <v>65</v>
      </c>
      <c r="E577" s="13"/>
      <c r="F577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7" s="15">
        <f ca="1">IFERROR(__xludf.DUMMYFUNCTION("""COMPUTED_VALUE"""),0.28)</f>
        <v>0.28000000000000003</v>
      </c>
      <c r="H577" s="15"/>
      <c r="I577" s="16">
        <f ca="1">IFERROR(__xludf.DUMMYFUNCTION("""COMPUTED_VALUE"""),1100000)</f>
        <v>1100000</v>
      </c>
    </row>
    <row r="578" spans="2:9" x14ac:dyDescent="0.3">
      <c r="B578" s="12" t="str">
        <f ca="1">IFERROR(__xludf.DUMMYFUNCTION("""COMPUTED_VALUE"""),"круг")</f>
        <v>круг</v>
      </c>
      <c r="C578" s="7" t="str">
        <f ca="1">IFERROR(__xludf.DUMMYFUNCTION("""COMPUTED_VALUE"""),"13Х15Н4АМ3-ш (ЭП 310ш)")</f>
        <v>13Х15Н4АМ3-ш (ЭП 310ш)</v>
      </c>
      <c r="D578" s="13">
        <f ca="1">IFERROR(__xludf.DUMMYFUNCTION("""COMPUTED_VALUE"""),65)</f>
        <v>65</v>
      </c>
      <c r="E578" s="13"/>
      <c r="F578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8" s="15">
        <f ca="1">IFERROR(__xludf.DUMMYFUNCTION("""COMPUTED_VALUE"""),0.85)</f>
        <v>0.85</v>
      </c>
      <c r="H578" s="15"/>
      <c r="I578" s="16">
        <f ca="1">IFERROR(__xludf.DUMMYFUNCTION("""COMPUTED_VALUE"""),1100000)</f>
        <v>1100000</v>
      </c>
    </row>
    <row r="579" spans="2:9" x14ac:dyDescent="0.3">
      <c r="B579" s="12" t="str">
        <f ca="1">IFERROR(__xludf.DUMMYFUNCTION("""COMPUTED_VALUE"""),"круг")</f>
        <v>круг</v>
      </c>
      <c r="C579" s="7" t="str">
        <f ca="1">IFERROR(__xludf.DUMMYFUNCTION("""COMPUTED_VALUE"""),"13Х15Н4АМ3-ш (ЭП 310ш)")</f>
        <v>13Х15Н4АМ3-ш (ЭП 310ш)</v>
      </c>
      <c r="D579" s="13">
        <f ca="1">IFERROR(__xludf.DUMMYFUNCTION("""COMPUTED_VALUE"""),70)</f>
        <v>70</v>
      </c>
      <c r="E579" s="13"/>
      <c r="F579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9" s="15">
        <f ca="1">IFERROR(__xludf.DUMMYFUNCTION("""COMPUTED_VALUE"""),0.345)</f>
        <v>0.34499999999999997</v>
      </c>
      <c r="H579" s="15"/>
      <c r="I579" s="16">
        <f ca="1">IFERROR(__xludf.DUMMYFUNCTION("""COMPUTED_VALUE"""),1100000)</f>
        <v>1100000</v>
      </c>
    </row>
    <row r="580" spans="2:9" x14ac:dyDescent="0.3">
      <c r="B580" s="12" t="str">
        <f ca="1">IFERROR(__xludf.DUMMYFUNCTION("""COMPUTED_VALUE"""),"круг")</f>
        <v>круг</v>
      </c>
      <c r="C580" s="7" t="str">
        <f ca="1">IFERROR(__xludf.DUMMYFUNCTION("""COMPUTED_VALUE"""),"13Х15Н4АМ3-ш (ЭП 310ш)")</f>
        <v>13Х15Н4АМ3-ш (ЭП 310ш)</v>
      </c>
      <c r="D580" s="13">
        <f ca="1">IFERROR(__xludf.DUMMYFUNCTION("""COMPUTED_VALUE"""),75)</f>
        <v>75</v>
      </c>
      <c r="E580" s="13"/>
      <c r="F580" s="14" t="str">
        <f ca="1">IFERROR(__xludf.DUMMYFUNCTION("""COMPUTED_VALUE"""),"ТУ 14-1-940-74/ГОСТ 2590-2006, УЗК, отжиг, РТТ ll, В1")</f>
        <v>ТУ 14-1-940-74/ГОСТ 2590-2006, УЗК, отжиг, РТТ ll, В1</v>
      </c>
      <c r="G580" s="15">
        <f ca="1">IFERROR(__xludf.DUMMYFUNCTION("""COMPUTED_VALUE"""),0.51)</f>
        <v>0.51</v>
      </c>
      <c r="H580" s="15"/>
      <c r="I580" s="16">
        <f ca="1">IFERROR(__xludf.DUMMYFUNCTION("""COMPUTED_VALUE"""),1100000)</f>
        <v>1100000</v>
      </c>
    </row>
    <row r="581" spans="2:9" x14ac:dyDescent="0.3">
      <c r="B581" s="12" t="str">
        <f ca="1">IFERROR(__xludf.DUMMYFUNCTION("""COMPUTED_VALUE"""),"круг")</f>
        <v>круг</v>
      </c>
      <c r="C581" s="7" t="str">
        <f ca="1">IFERROR(__xludf.DUMMYFUNCTION("""COMPUTED_VALUE"""),"13Х15Н4АМ3-ш (ЭП 310ш)")</f>
        <v>13Х15Н4АМ3-ш (ЭП 310ш)</v>
      </c>
      <c r="D581" s="13">
        <f ca="1">IFERROR(__xludf.DUMMYFUNCTION("""COMPUTED_VALUE"""),75)</f>
        <v>75</v>
      </c>
      <c r="E581" s="13"/>
      <c r="F581" s="14" t="str">
        <f ca="1">IFERROR(__xludf.DUMMYFUNCTION("""COMPUTED_VALUE"""),"ТУ 14-1-940-74/ГОСТ 2590-2006, УЗК, отжиг, РТТ ll, В1")</f>
        <v>ТУ 14-1-940-74/ГОСТ 2590-2006, УЗК, отжиг, РТТ ll, В1</v>
      </c>
      <c r="G581" s="15">
        <f ca="1">IFERROR(__xludf.DUMMYFUNCTION("""COMPUTED_VALUE"""),1.315)</f>
        <v>1.3149999999999999</v>
      </c>
      <c r="H581" s="15"/>
      <c r="I581" s="16">
        <f ca="1">IFERROR(__xludf.DUMMYFUNCTION("""COMPUTED_VALUE"""),1100000)</f>
        <v>1100000</v>
      </c>
    </row>
    <row r="582" spans="2:9" x14ac:dyDescent="0.3">
      <c r="B582" s="12" t="str">
        <f ca="1">IFERROR(__xludf.DUMMYFUNCTION("""COMPUTED_VALUE"""),"круг")</f>
        <v>круг</v>
      </c>
      <c r="C582" s="7" t="str">
        <f ca="1">IFERROR(__xludf.DUMMYFUNCTION("""COMPUTED_VALUE"""),"13Х15Н4АМ3-ш (ЭП 310ш)")</f>
        <v>13Х15Н4АМ3-ш (ЭП 310ш)</v>
      </c>
      <c r="D582" s="13">
        <f ca="1">IFERROR(__xludf.DUMMYFUNCTION("""COMPUTED_VALUE"""),80)</f>
        <v>80</v>
      </c>
      <c r="E582" s="13"/>
      <c r="F582" s="14" t="str">
        <f ca="1">IFERROR(__xludf.DUMMYFUNCTION("""COMPUTED_VALUE"""),"ТУ 14-1-940-74/ГОСТ 2590-2006, УЗК, отжиг, РТТ ll, В1")</f>
        <v>ТУ 14-1-940-74/ГОСТ 2590-2006, УЗК, отжиг, РТТ ll, В1</v>
      </c>
      <c r="G582" s="15">
        <f ca="1">IFERROR(__xludf.DUMMYFUNCTION("""COMPUTED_VALUE"""),0.863999999999999)</f>
        <v>0.86399999999999899</v>
      </c>
      <c r="H582" s="15"/>
      <c r="I582" s="16">
        <f ca="1">IFERROR(__xludf.DUMMYFUNCTION("""COMPUTED_VALUE"""),1100000)</f>
        <v>1100000</v>
      </c>
    </row>
    <row r="583" spans="2:9" x14ac:dyDescent="0.3">
      <c r="B583" s="12" t="str">
        <f ca="1">IFERROR(__xludf.DUMMYFUNCTION("""COMPUTED_VALUE"""),"круг")</f>
        <v>круг</v>
      </c>
      <c r="C583" s="7" t="str">
        <f ca="1">IFERROR(__xludf.DUMMYFUNCTION("""COMPUTED_VALUE"""),"13Х15Н4АМ3-ш (ЭП 310ш)")</f>
        <v>13Х15Н4АМ3-ш (ЭП 310ш)</v>
      </c>
      <c r="D583" s="13">
        <f ca="1">IFERROR(__xludf.DUMMYFUNCTION("""COMPUTED_VALUE"""),80)</f>
        <v>80</v>
      </c>
      <c r="E583" s="13"/>
      <c r="F583" s="14" t="str">
        <f ca="1">IFERROR(__xludf.DUMMYFUNCTION("""COMPUTED_VALUE"""),"ТУ 14-1-940-74/ГОСТ 2590-2006, УЗК, отжиг, РТТ ll, В1")</f>
        <v>ТУ 14-1-940-74/ГОСТ 2590-2006, УЗК, отжиг, РТТ ll, В1</v>
      </c>
      <c r="G583" s="15">
        <f ca="1">IFERROR(__xludf.DUMMYFUNCTION("""COMPUTED_VALUE"""),0.64)</f>
        <v>0.64</v>
      </c>
      <c r="H583" s="15"/>
      <c r="I583" s="16">
        <f ca="1">IFERROR(__xludf.DUMMYFUNCTION("""COMPUTED_VALUE"""),1100000)</f>
        <v>1100000</v>
      </c>
    </row>
    <row r="584" spans="2:9" x14ac:dyDescent="0.3">
      <c r="B584" s="12" t="str">
        <f ca="1">IFERROR(__xludf.DUMMYFUNCTION("""COMPUTED_VALUE"""),"круг")</f>
        <v>круг</v>
      </c>
      <c r="C584" s="7" t="str">
        <f ca="1">IFERROR(__xludf.DUMMYFUNCTION("""COMPUTED_VALUE"""),"13Х15Н4АМ3-ш (ЭП 310ш)")</f>
        <v>13Х15Н4АМ3-ш (ЭП 310ш)</v>
      </c>
      <c r="D584" s="13">
        <f ca="1">IFERROR(__xludf.DUMMYFUNCTION("""COMPUTED_VALUE"""),90)</f>
        <v>90</v>
      </c>
      <c r="E584" s="13"/>
      <c r="F584" s="14" t="str">
        <f ca="1">IFERROR(__xludf.DUMMYFUNCTION("""COMPUTED_VALUE"""),"ТУ 14-1-940-74/ГОСТ 2590-2006, УЗК, отжиг, РТТ ll, В1")</f>
        <v>ТУ 14-1-940-74/ГОСТ 2590-2006, УЗК, отжиг, РТТ ll, В1</v>
      </c>
      <c r="G584" s="15">
        <f ca="1">IFERROR(__xludf.DUMMYFUNCTION("""COMPUTED_VALUE"""),0.966)</f>
        <v>0.96599999999999997</v>
      </c>
      <c r="H584" s="15"/>
      <c r="I584" s="16">
        <f ca="1">IFERROR(__xludf.DUMMYFUNCTION("""COMPUTED_VALUE"""),1100000)</f>
        <v>1100000</v>
      </c>
    </row>
    <row r="585" spans="2:9" x14ac:dyDescent="0.3">
      <c r="B585" s="12" t="str">
        <f ca="1">IFERROR(__xludf.DUMMYFUNCTION("""COMPUTED_VALUE"""),"круг")</f>
        <v>круг</v>
      </c>
      <c r="C585" s="7" t="str">
        <f ca="1">IFERROR(__xludf.DUMMYFUNCTION("""COMPUTED_VALUE"""),"13Х15Н4АМ3-ш (ЭП 310ш)")</f>
        <v>13Х15Н4АМ3-ш (ЭП 310ш)</v>
      </c>
      <c r="D585" s="13">
        <f ca="1">IFERROR(__xludf.DUMMYFUNCTION("""COMPUTED_VALUE"""),100)</f>
        <v>100</v>
      </c>
      <c r="E585" s="13"/>
      <c r="F585" s="14" t="str">
        <f ca="1">IFERROR(__xludf.DUMMYFUNCTION("""COMPUTED_VALUE"""),"ТУ 14-1-940-74/ГОСТ 2590-2006, УЗК, отжиг, РТТ ll, В1")</f>
        <v>ТУ 14-1-940-74/ГОСТ 2590-2006, УЗК, отжиг, РТТ ll, В1</v>
      </c>
      <c r="G585" s="15">
        <f ca="1">IFERROR(__xludf.DUMMYFUNCTION("""COMPUTED_VALUE"""),1.349)</f>
        <v>1.349</v>
      </c>
      <c r="H585" s="15"/>
      <c r="I585" s="16">
        <f ca="1">IFERROR(__xludf.DUMMYFUNCTION("""COMPUTED_VALUE"""),1100000)</f>
        <v>1100000</v>
      </c>
    </row>
    <row r="586" spans="2:9" x14ac:dyDescent="0.3">
      <c r="B586" s="12" t="str">
        <f ca="1">IFERROR(__xludf.DUMMYFUNCTION("""COMPUTED_VALUE"""),"круг")</f>
        <v>круг</v>
      </c>
      <c r="C586" s="7" t="str">
        <f ca="1">IFERROR(__xludf.DUMMYFUNCTION("""COMPUTED_VALUE"""),"13Х11Н2В2МФ-Ш (эи961ш)")</f>
        <v>13Х11Н2В2МФ-Ш (эи961ш)</v>
      </c>
      <c r="D586" s="13">
        <f ca="1">IFERROR(__xludf.DUMMYFUNCTION("""COMPUTED_VALUE"""),8)</f>
        <v>8</v>
      </c>
      <c r="E586" s="13"/>
      <c r="F586" s="14" t="str">
        <f ca="1">IFERROR(__xludf.DUMMYFUNCTION("""COMPUTED_VALUE""")," ТУ 14-1-3297 ГОСТ2590. РТТ")</f>
        <v xml:space="preserve"> ТУ 14-1-3297 ГОСТ2590. РТТ</v>
      </c>
      <c r="G586" s="15">
        <f ca="1">IFERROR(__xludf.DUMMYFUNCTION("""COMPUTED_VALUE"""),0.097)</f>
        <v>9.7000000000000003E-2</v>
      </c>
      <c r="H586" s="15"/>
      <c r="I586" s="16">
        <f ca="1">IFERROR(__xludf.DUMMYFUNCTION("""COMPUTED_VALUE"""),1500000)</f>
        <v>1500000</v>
      </c>
    </row>
    <row r="587" spans="2:9" x14ac:dyDescent="0.3">
      <c r="B587" s="12" t="str">
        <f ca="1">IFERROR(__xludf.DUMMYFUNCTION("""COMPUTED_VALUE"""),"круг")</f>
        <v>круг</v>
      </c>
      <c r="C587" s="7" t="str">
        <f ca="1">IFERROR(__xludf.DUMMYFUNCTION("""COMPUTED_VALUE"""),"13Х11Н2В2МФ-Ш (эи961ш)")</f>
        <v>13Х11Н2В2МФ-Ш (эи961ш)</v>
      </c>
      <c r="D587" s="13">
        <f ca="1">IFERROR(__xludf.DUMMYFUNCTION("""COMPUTED_VALUE"""),8)</f>
        <v>8</v>
      </c>
      <c r="E587" s="13"/>
      <c r="F587" s="14" t="str">
        <f ca="1">IFERROR(__xludf.DUMMYFUNCTION("""COMPUTED_VALUE"""),"14-1-3297/2590, АТП , УЗК")</f>
        <v>14-1-3297/2590, АТП , УЗК</v>
      </c>
      <c r="G587" s="15">
        <f ca="1">IFERROR(__xludf.DUMMYFUNCTION("""COMPUTED_VALUE"""),0.5)</f>
        <v>0.5</v>
      </c>
      <c r="H587" s="15"/>
      <c r="I587" s="16">
        <f ca="1">IFERROR(__xludf.DUMMYFUNCTION("""COMPUTED_VALUE"""),1350000)</f>
        <v>1350000</v>
      </c>
    </row>
    <row r="588" spans="2:9" x14ac:dyDescent="0.3">
      <c r="B588" s="12" t="str">
        <f ca="1">IFERROR(__xludf.DUMMYFUNCTION("""COMPUTED_VALUE"""),"круг")</f>
        <v>круг</v>
      </c>
      <c r="C588" s="7" t="str">
        <f ca="1">IFERROR(__xludf.DUMMYFUNCTION("""COMPUTED_VALUE"""),"13Х11Н2В2МФ-Ш (эи961ш)")</f>
        <v>13Х11Н2В2МФ-Ш (эи961ш)</v>
      </c>
      <c r="D588" s="13">
        <f ca="1">IFERROR(__xludf.DUMMYFUNCTION("""COMPUTED_VALUE"""),10)</f>
        <v>10</v>
      </c>
      <c r="E588" s="13"/>
      <c r="F588" s="14" t="str">
        <f ca="1">IFERROR(__xludf.DUMMYFUNCTION("""COMPUTED_VALUE"""),"14-1-3297/2590, АТП , УЗК")</f>
        <v>14-1-3297/2590, АТП , УЗК</v>
      </c>
      <c r="G588" s="15">
        <f ca="1">IFERROR(__xludf.DUMMYFUNCTION("""COMPUTED_VALUE"""),0.335999999999999)</f>
        <v>0.33599999999999902</v>
      </c>
      <c r="H588" s="15"/>
      <c r="I588" s="16">
        <f ca="1">IFERROR(__xludf.DUMMYFUNCTION("""COMPUTED_VALUE"""),1350000)</f>
        <v>1350000</v>
      </c>
    </row>
    <row r="589" spans="2:9" x14ac:dyDescent="0.3">
      <c r="B589" s="12" t="str">
        <f ca="1">IFERROR(__xludf.DUMMYFUNCTION("""COMPUTED_VALUE"""),"круг")</f>
        <v>круг</v>
      </c>
      <c r="C589" s="7" t="str">
        <f ca="1">IFERROR(__xludf.DUMMYFUNCTION("""COMPUTED_VALUE"""),"13Х11Н2В2МФ-Ш (эи961ш)")</f>
        <v>13Х11Н2В2МФ-Ш (эи961ш)</v>
      </c>
      <c r="D589" s="13">
        <f ca="1">IFERROR(__xludf.DUMMYFUNCTION("""COMPUTED_VALUE"""),10)</f>
        <v>10</v>
      </c>
      <c r="E589" s="13"/>
      <c r="F589" s="14" t="str">
        <f ca="1">IFERROR(__xludf.DUMMYFUNCTION("""COMPUTED_VALUE"""),"14-1-3297/2590, АТП , УЗК")</f>
        <v>14-1-3297/2590, АТП , УЗК</v>
      </c>
      <c r="G589" s="15">
        <f ca="1">IFERROR(__xludf.DUMMYFUNCTION("""COMPUTED_VALUE"""),1)</f>
        <v>1</v>
      </c>
      <c r="H589" s="15"/>
      <c r="I589" s="16">
        <f ca="1">IFERROR(__xludf.DUMMYFUNCTION("""COMPUTED_VALUE"""),1350000)</f>
        <v>1350000</v>
      </c>
    </row>
    <row r="590" spans="2:9" x14ac:dyDescent="0.3">
      <c r="B590" s="12" t="str">
        <f ca="1">IFERROR(__xludf.DUMMYFUNCTION("""COMPUTED_VALUE"""),"круг")</f>
        <v>круг</v>
      </c>
      <c r="C590" s="7" t="str">
        <f ca="1">IFERROR(__xludf.DUMMYFUNCTION("""COMPUTED_VALUE"""),"13Х11Н2В2МФ-Ш (эи961ш)")</f>
        <v>13Х11Н2В2МФ-Ш (эи961ш)</v>
      </c>
      <c r="D590" s="13">
        <f ca="1">IFERROR(__xludf.DUMMYFUNCTION("""COMPUTED_VALUE"""),12)</f>
        <v>12</v>
      </c>
      <c r="E590" s="13"/>
      <c r="F590" s="14" t="str">
        <f ca="1">IFERROR(__xludf.DUMMYFUNCTION("""COMPUTED_VALUE"""),"14-1-3297/2590, АТП , УЗК")</f>
        <v>14-1-3297/2590, АТП , УЗК</v>
      </c>
      <c r="G590" s="15">
        <f ca="1">IFERROR(__xludf.DUMMYFUNCTION("""COMPUTED_VALUE"""),0.204999999999999)</f>
        <v>0.20499999999999899</v>
      </c>
      <c r="H590" s="15"/>
      <c r="I590" s="16">
        <f ca="1">IFERROR(__xludf.DUMMYFUNCTION("""COMPUTED_VALUE"""),1350000)</f>
        <v>1350000</v>
      </c>
    </row>
    <row r="591" spans="2:9" x14ac:dyDescent="0.3">
      <c r="B591" s="12" t="str">
        <f ca="1">IFERROR(__xludf.DUMMYFUNCTION("""COMPUTED_VALUE"""),"круг")</f>
        <v>круг</v>
      </c>
      <c r="C591" s="7" t="str">
        <f ca="1">IFERROR(__xludf.DUMMYFUNCTION("""COMPUTED_VALUE"""),"13Х11Н2В2МФ-Ш (эи961ш)")</f>
        <v>13Х11Н2В2МФ-Ш (эи961ш)</v>
      </c>
      <c r="D591" s="13">
        <f ca="1">IFERROR(__xludf.DUMMYFUNCTION("""COMPUTED_VALUE"""),12)</f>
        <v>12</v>
      </c>
      <c r="E591" s="13"/>
      <c r="F591" s="14" t="str">
        <f ca="1">IFERROR(__xludf.DUMMYFUNCTION("""COMPUTED_VALUE"""),"14-1-3297/2590, АТП , 3гп ,без УЗК")</f>
        <v>14-1-3297/2590, АТП , 3гп ,без УЗК</v>
      </c>
      <c r="G591" s="15">
        <f ca="1">IFERROR(__xludf.DUMMYFUNCTION("""COMPUTED_VALUE"""),0.146)</f>
        <v>0.14599999999999999</v>
      </c>
      <c r="H591" s="15"/>
      <c r="I591" s="16">
        <f ca="1">IFERROR(__xludf.DUMMYFUNCTION("""COMPUTED_VALUE"""),1350000)</f>
        <v>1350000</v>
      </c>
    </row>
    <row r="592" spans="2:9" x14ac:dyDescent="0.3">
      <c r="B592" s="12" t="str">
        <f ca="1">IFERROR(__xludf.DUMMYFUNCTION("""COMPUTED_VALUE"""),"круг")</f>
        <v>круг</v>
      </c>
      <c r="C592" s="7" t="str">
        <f ca="1">IFERROR(__xludf.DUMMYFUNCTION("""COMPUTED_VALUE"""),"13Х11Н2В2МФ-Ш (эи961ш)")</f>
        <v>13Х11Н2В2МФ-Ш (эи961ш)</v>
      </c>
      <c r="D592" s="13">
        <f ca="1">IFERROR(__xludf.DUMMYFUNCTION("""COMPUTED_VALUE"""),12)</f>
        <v>12</v>
      </c>
      <c r="E592" s="13"/>
      <c r="F592" s="14" t="str">
        <f ca="1">IFERROR(__xludf.DUMMYFUNCTION("""COMPUTED_VALUE"""),"14-1-3297/2590, АТП , УЗК")</f>
        <v>14-1-3297/2590, АТП , УЗК</v>
      </c>
      <c r="G592" s="15">
        <f ca="1">IFERROR(__xludf.DUMMYFUNCTION("""COMPUTED_VALUE"""),1)</f>
        <v>1</v>
      </c>
      <c r="H592" s="15"/>
      <c r="I592" s="16">
        <f ca="1">IFERROR(__xludf.DUMMYFUNCTION("""COMPUTED_VALUE"""),1350000)</f>
        <v>1350000</v>
      </c>
    </row>
    <row r="593" spans="2:9" x14ac:dyDescent="0.3">
      <c r="B593" s="12" t="str">
        <f ca="1">IFERROR(__xludf.DUMMYFUNCTION("""COMPUTED_VALUE"""),"круг")</f>
        <v>круг</v>
      </c>
      <c r="C593" s="7" t="str">
        <f ca="1">IFERROR(__xludf.DUMMYFUNCTION("""COMPUTED_VALUE"""),"13Х11Н2В2МФ-Ш (эи961ш)")</f>
        <v>13Х11Н2В2МФ-Ш (эи961ш)</v>
      </c>
      <c r="D593" s="13">
        <f ca="1">IFERROR(__xludf.DUMMYFUNCTION("""COMPUTED_VALUE"""),18)</f>
        <v>18</v>
      </c>
      <c r="E593" s="13"/>
      <c r="F593" s="14" t="str">
        <f ca="1">IFERROR(__xludf.DUMMYFUNCTION("""COMPUTED_VALUE"""),"14-1-3297/2590, АТП , УЗК")</f>
        <v>14-1-3297/2590, АТП , УЗК</v>
      </c>
      <c r="G593" s="15">
        <f ca="1">IFERROR(__xludf.DUMMYFUNCTION("""COMPUTED_VALUE"""),0.532)</f>
        <v>0.53200000000000003</v>
      </c>
      <c r="H593" s="15"/>
      <c r="I593" s="16">
        <f ca="1">IFERROR(__xludf.DUMMYFUNCTION("""COMPUTED_VALUE"""),1350000)</f>
        <v>1350000</v>
      </c>
    </row>
    <row r="594" spans="2:9" x14ac:dyDescent="0.3">
      <c r="B594" s="12" t="str">
        <f ca="1">IFERROR(__xludf.DUMMYFUNCTION("""COMPUTED_VALUE"""),"круг")</f>
        <v>круг</v>
      </c>
      <c r="C594" s="7" t="str">
        <f ca="1">IFERROR(__xludf.DUMMYFUNCTION("""COMPUTED_VALUE"""),"13Х11Н2В2МФ-Ш (эи961ш)")</f>
        <v>13Х11Н2В2МФ-Ш (эи961ш)</v>
      </c>
      <c r="D594" s="13">
        <f ca="1">IFERROR(__xludf.DUMMYFUNCTION("""COMPUTED_VALUE"""),20)</f>
        <v>20</v>
      </c>
      <c r="E594" s="13"/>
      <c r="F594" s="14" t="str">
        <f ca="1">IFERROR(__xludf.DUMMYFUNCTION("""COMPUTED_VALUE"""),"14-1-3297/2590, АТП , 3гп ,без УЗК")</f>
        <v>14-1-3297/2590, АТП , 3гп ,без УЗК</v>
      </c>
      <c r="G594" s="15">
        <f ca="1">IFERROR(__xludf.DUMMYFUNCTION("""COMPUTED_VALUE"""),0.747)</f>
        <v>0.747</v>
      </c>
      <c r="H594" s="15"/>
      <c r="I594" s="16">
        <f ca="1">IFERROR(__xludf.DUMMYFUNCTION("""COMPUTED_VALUE"""),1300000)</f>
        <v>1300000</v>
      </c>
    </row>
    <row r="595" spans="2:9" x14ac:dyDescent="0.3">
      <c r="B595" s="12" t="str">
        <f ca="1">IFERROR(__xludf.DUMMYFUNCTION("""COMPUTED_VALUE"""),"круг")</f>
        <v>круг</v>
      </c>
      <c r="C595" s="7" t="str">
        <f ca="1">IFERROR(__xludf.DUMMYFUNCTION("""COMPUTED_VALUE"""),"13Х11Н2В2МФ-Ш (эи961ш)")</f>
        <v>13Х11Н2В2МФ-Ш (эи961ш)</v>
      </c>
      <c r="D595" s="13">
        <f ca="1">IFERROR(__xludf.DUMMYFUNCTION("""COMPUTED_VALUE"""),22)</f>
        <v>22</v>
      </c>
      <c r="E595" s="13"/>
      <c r="F595" s="14" t="str">
        <f ca="1">IFERROR(__xludf.DUMMYFUNCTION("""COMPUTED_VALUE"""),"14-1-3297/2590, АТП , 3гп ,без УЗК")</f>
        <v>14-1-3297/2590, АТП , 3гп ,без УЗК</v>
      </c>
      <c r="G595" s="15">
        <f ca="1">IFERROR(__xludf.DUMMYFUNCTION("""COMPUTED_VALUE"""),0.0879999999999999)</f>
        <v>8.7999999999999898E-2</v>
      </c>
      <c r="H595" s="15"/>
      <c r="I595" s="16">
        <f ca="1">IFERROR(__xludf.DUMMYFUNCTION("""COMPUTED_VALUE"""),1300000)</f>
        <v>1300000</v>
      </c>
    </row>
    <row r="596" spans="2:9" x14ac:dyDescent="0.3">
      <c r="B596" s="12" t="str">
        <f ca="1">IFERROR(__xludf.DUMMYFUNCTION("""COMPUTED_VALUE"""),"круг")</f>
        <v>круг</v>
      </c>
      <c r="C596" s="7" t="str">
        <f ca="1">IFERROR(__xludf.DUMMYFUNCTION("""COMPUTED_VALUE"""),"13Х11Н2В2МФ-Ш (эи961ш)")</f>
        <v>13Х11Н2В2МФ-Ш (эи961ш)</v>
      </c>
      <c r="D596" s="13">
        <f ca="1">IFERROR(__xludf.DUMMYFUNCTION("""COMPUTED_VALUE"""),25)</f>
        <v>25</v>
      </c>
      <c r="E596" s="13"/>
      <c r="F596" s="14" t="str">
        <f ca="1">IFERROR(__xludf.DUMMYFUNCTION("""COMPUTED_VALUE"""),"14-1-3297/2590, АТП , 3гп ,без УЗК")</f>
        <v>14-1-3297/2590, АТП , 3гп ,без УЗК</v>
      </c>
      <c r="G596" s="15">
        <f ca="1">IFERROR(__xludf.DUMMYFUNCTION("""COMPUTED_VALUE"""),0.0289999999999999)</f>
        <v>2.8999999999999901E-2</v>
      </c>
      <c r="H596" s="15"/>
      <c r="I596" s="16">
        <f ca="1">IFERROR(__xludf.DUMMYFUNCTION("""COMPUTED_VALUE"""),1350000)</f>
        <v>1350000</v>
      </c>
    </row>
    <row r="597" spans="2:9" x14ac:dyDescent="0.3">
      <c r="B597" s="12" t="str">
        <f ca="1">IFERROR(__xludf.DUMMYFUNCTION("""COMPUTED_VALUE"""),"круг")</f>
        <v>круг</v>
      </c>
      <c r="C597" s="7" t="str">
        <f ca="1">IFERROR(__xludf.DUMMYFUNCTION("""COMPUTED_VALUE"""),"13Х11Н2В2МФ-Ш (эи961ш)")</f>
        <v>13Х11Н2В2МФ-Ш (эи961ш)</v>
      </c>
      <c r="D597" s="13">
        <f ca="1">IFERROR(__xludf.DUMMYFUNCTION("""COMPUTED_VALUE"""),25)</f>
        <v>25</v>
      </c>
      <c r="E597" s="13"/>
      <c r="F597" s="14" t="str">
        <f ca="1">IFERROR(__xludf.DUMMYFUNCTION("""COMPUTED_VALUE"""),"14-1-3297/2590, АТП , УЗК")</f>
        <v>14-1-3297/2590, АТП , УЗК</v>
      </c>
      <c r="G597" s="15">
        <f ca="1">IFERROR(__xludf.DUMMYFUNCTION("""COMPUTED_VALUE"""),1.5)</f>
        <v>1.5</v>
      </c>
      <c r="H597" s="15"/>
      <c r="I597" s="16">
        <f ca="1">IFERROR(__xludf.DUMMYFUNCTION("""COMPUTED_VALUE"""),1350000)</f>
        <v>1350000</v>
      </c>
    </row>
    <row r="598" spans="2:9" x14ac:dyDescent="0.3">
      <c r="B598" s="12" t="str">
        <f ca="1">IFERROR(__xludf.DUMMYFUNCTION("""COMPUTED_VALUE"""),"круг")</f>
        <v>круг</v>
      </c>
      <c r="C598" s="7" t="str">
        <f ca="1">IFERROR(__xludf.DUMMYFUNCTION("""COMPUTED_VALUE"""),"13Х11Н2В2МФ-Ш (эи961ш)")</f>
        <v>13Х11Н2В2МФ-Ш (эи961ш)</v>
      </c>
      <c r="D598" s="13">
        <f ca="1">IFERROR(__xludf.DUMMYFUNCTION("""COMPUTED_VALUE"""),28)</f>
        <v>28</v>
      </c>
      <c r="E598" s="13"/>
      <c r="F598" s="14" t="str">
        <f ca="1">IFERROR(__xludf.DUMMYFUNCTION("""COMPUTED_VALUE"""),"14-1-3297/2590, АТП , УЗК")</f>
        <v>14-1-3297/2590, АТП , УЗК</v>
      </c>
      <c r="G598" s="15">
        <f ca="1">IFERROR(__xludf.DUMMYFUNCTION("""COMPUTED_VALUE"""),0.0429999999999999)</f>
        <v>4.2999999999999899E-2</v>
      </c>
      <c r="H598" s="15"/>
      <c r="I598" s="16">
        <f ca="1">IFERROR(__xludf.DUMMYFUNCTION("""COMPUTED_VALUE"""),1300000)</f>
        <v>1300000</v>
      </c>
    </row>
    <row r="599" spans="2:9" x14ac:dyDescent="0.3">
      <c r="B599" s="12" t="str">
        <f ca="1">IFERROR(__xludf.DUMMYFUNCTION("""COMPUTED_VALUE"""),"круг")</f>
        <v>круг</v>
      </c>
      <c r="C599" s="7" t="str">
        <f ca="1">IFERROR(__xludf.DUMMYFUNCTION("""COMPUTED_VALUE"""),"13Х11Н2В2МФ-Ш (эи961ш)")</f>
        <v>13Х11Н2В2МФ-Ш (эи961ш)</v>
      </c>
      <c r="D599" s="13">
        <f ca="1">IFERROR(__xludf.DUMMYFUNCTION("""COMPUTED_VALUE"""),28)</f>
        <v>28</v>
      </c>
      <c r="E599" s="13"/>
      <c r="F599" s="14" t="str">
        <f ca="1">IFERROR(__xludf.DUMMYFUNCTION("""COMPUTED_VALUE"""),"14-1-3297/2590, АТП , 3гп ,без УЗК")</f>
        <v>14-1-3297/2590, АТП , 3гп ,без УЗК</v>
      </c>
      <c r="G599" s="15">
        <f ca="1">IFERROR(__xludf.DUMMYFUNCTION("""COMPUTED_VALUE"""),0.996)</f>
        <v>0.996</v>
      </c>
      <c r="H599" s="15"/>
      <c r="I599" s="16">
        <f ca="1">IFERROR(__xludf.DUMMYFUNCTION("""COMPUTED_VALUE"""),1300000)</f>
        <v>1300000</v>
      </c>
    </row>
    <row r="600" spans="2:9" x14ac:dyDescent="0.3">
      <c r="B600" s="12" t="str">
        <f ca="1">IFERROR(__xludf.DUMMYFUNCTION("""COMPUTED_VALUE"""),"круг")</f>
        <v>круг</v>
      </c>
      <c r="C600" s="7" t="str">
        <f ca="1">IFERROR(__xludf.DUMMYFUNCTION("""COMPUTED_VALUE"""),"13Х11Н2В2МФ-Ш (эи961ш)")</f>
        <v>13Х11Н2В2МФ-Ш (эи961ш)</v>
      </c>
      <c r="D600" s="13">
        <f ca="1">IFERROR(__xludf.DUMMYFUNCTION("""COMPUTED_VALUE"""),30)</f>
        <v>30</v>
      </c>
      <c r="E600" s="13"/>
      <c r="F600" s="14" t="str">
        <f ca="1">IFERROR(__xludf.DUMMYFUNCTION("""COMPUTED_VALUE"""),"14-1-3297/2590, АТП , 3гп ,без УЗК")</f>
        <v>14-1-3297/2590, АТП , 3гп ,без УЗК</v>
      </c>
      <c r="G600" s="15">
        <f ca="1">IFERROR(__xludf.DUMMYFUNCTION("""COMPUTED_VALUE"""),1.941)</f>
        <v>1.9410000000000001</v>
      </c>
      <c r="H600" s="15"/>
      <c r="I600" s="16">
        <f ca="1">IFERROR(__xludf.DUMMYFUNCTION("""COMPUTED_VALUE"""),1300000)</f>
        <v>1300000</v>
      </c>
    </row>
    <row r="601" spans="2:9" x14ac:dyDescent="0.3">
      <c r="B601" s="12" t="str">
        <f ca="1">IFERROR(__xludf.DUMMYFUNCTION("""COMPUTED_VALUE"""),"круг")</f>
        <v>круг</v>
      </c>
      <c r="C601" s="7" t="str">
        <f ca="1">IFERROR(__xludf.DUMMYFUNCTION("""COMPUTED_VALUE"""),"13Х11Н2В2МФ-Ш (эи961ш)")</f>
        <v>13Х11Н2В2МФ-Ш (эи961ш)</v>
      </c>
      <c r="D601" s="13">
        <f ca="1">IFERROR(__xludf.DUMMYFUNCTION("""COMPUTED_VALUE"""),30)</f>
        <v>30</v>
      </c>
      <c r="E601" s="13"/>
      <c r="F601" s="14" t="str">
        <f ca="1">IFERROR(__xludf.DUMMYFUNCTION("""COMPUTED_VALUE"""),"14-1-3297/2590 РТ ")</f>
        <v xml:space="preserve">14-1-3297/2590 РТ </v>
      </c>
      <c r="G601" s="15">
        <f ca="1">IFERROR(__xludf.DUMMYFUNCTION("""COMPUTED_VALUE"""),0.479)</f>
        <v>0.47899999999999998</v>
      </c>
      <c r="H601" s="15"/>
      <c r="I601" s="16">
        <f ca="1">IFERROR(__xludf.DUMMYFUNCTION("""COMPUTED_VALUE"""),1350000)</f>
        <v>1350000</v>
      </c>
    </row>
    <row r="602" spans="2:9" x14ac:dyDescent="0.3">
      <c r="B602" s="12" t="str">
        <f ca="1">IFERROR(__xludf.DUMMYFUNCTION("""COMPUTED_VALUE"""),"круг")</f>
        <v>круг</v>
      </c>
      <c r="C602" s="7" t="str">
        <f ca="1">IFERROR(__xludf.DUMMYFUNCTION("""COMPUTED_VALUE"""),"13Х11Н2В2МФ-Ш (эи961ш)")</f>
        <v>13Х11Н2В2МФ-Ш (эи961ш)</v>
      </c>
      <c r="D602" s="13">
        <f ca="1">IFERROR(__xludf.DUMMYFUNCTION("""COMPUTED_VALUE"""),36)</f>
        <v>36</v>
      </c>
      <c r="E602" s="13"/>
      <c r="F602" s="14" t="str">
        <f ca="1">IFERROR(__xludf.DUMMYFUNCTION("""COMPUTED_VALUE"""),"14-1-3297/2590, АТП , 3гп ,без УЗК")</f>
        <v>14-1-3297/2590, АТП , 3гп ,без УЗК</v>
      </c>
      <c r="G602" s="15">
        <f ca="1">IFERROR(__xludf.DUMMYFUNCTION("""COMPUTED_VALUE"""),0.846)</f>
        <v>0.84599999999999997</v>
      </c>
      <c r="H602" s="15"/>
      <c r="I602" s="16">
        <f ca="1">IFERROR(__xludf.DUMMYFUNCTION("""COMPUTED_VALUE"""),1300000)</f>
        <v>1300000</v>
      </c>
    </row>
    <row r="603" spans="2:9" x14ac:dyDescent="0.3">
      <c r="B603" s="12" t="str">
        <f ca="1">IFERROR(__xludf.DUMMYFUNCTION("""COMPUTED_VALUE"""),"круг")</f>
        <v>круг</v>
      </c>
      <c r="C603" s="7" t="str">
        <f ca="1">IFERROR(__xludf.DUMMYFUNCTION("""COMPUTED_VALUE"""),"13Х11Н2В2МФ-Ш (эи961ш)")</f>
        <v>13Х11Н2В2МФ-Ш (эи961ш)</v>
      </c>
      <c r="D603" s="13">
        <f ca="1">IFERROR(__xludf.DUMMYFUNCTION("""COMPUTED_VALUE"""),40)</f>
        <v>40</v>
      </c>
      <c r="E603" s="13"/>
      <c r="F603" s="14" t="str">
        <f ca="1">IFERROR(__xludf.DUMMYFUNCTION("""COMPUTED_VALUE"""),"14-1-3297/2590 РТ ")</f>
        <v xml:space="preserve">14-1-3297/2590 РТ </v>
      </c>
      <c r="G603" s="15">
        <f ca="1">IFERROR(__xludf.DUMMYFUNCTION("""COMPUTED_VALUE"""),0.891)</f>
        <v>0.89100000000000001</v>
      </c>
      <c r="H603" s="15"/>
      <c r="I603" s="16">
        <f ca="1">IFERROR(__xludf.DUMMYFUNCTION("""COMPUTED_VALUE"""),1350000)</f>
        <v>1350000</v>
      </c>
    </row>
    <row r="604" spans="2:9" x14ac:dyDescent="0.3">
      <c r="B604" s="12" t="str">
        <f ca="1">IFERROR(__xludf.DUMMYFUNCTION("""COMPUTED_VALUE"""),"круг")</f>
        <v>круг</v>
      </c>
      <c r="C604" s="7" t="str">
        <f ca="1">IFERROR(__xludf.DUMMYFUNCTION("""COMPUTED_VALUE"""),"13Х11Н2В2МФ-Ш (эи961ш)")</f>
        <v>13Х11Н2В2МФ-Ш (эи961ш)</v>
      </c>
      <c r="D604" s="13">
        <f ca="1">IFERROR(__xludf.DUMMYFUNCTION("""COMPUTED_VALUE"""),40)</f>
        <v>40</v>
      </c>
      <c r="E604" s="13"/>
      <c r="F604" s="14" t="str">
        <f ca="1">IFERROR(__xludf.DUMMYFUNCTION("""COMPUTED_VALUE"""),"14-1-3297/2590, АТП , 3гп ,без УЗК")</f>
        <v>14-1-3297/2590, АТП , 3гп ,без УЗК</v>
      </c>
      <c r="G604" s="15">
        <f ca="1">IFERROR(__xludf.DUMMYFUNCTION("""COMPUTED_VALUE"""),2.045)</f>
        <v>2.0449999999999999</v>
      </c>
      <c r="H604" s="15"/>
      <c r="I604" s="16">
        <f ca="1">IFERROR(__xludf.DUMMYFUNCTION("""COMPUTED_VALUE"""),1350000)</f>
        <v>1350000</v>
      </c>
    </row>
    <row r="605" spans="2:9" x14ac:dyDescent="0.3">
      <c r="B605" s="12" t="str">
        <f ca="1">IFERROR(__xludf.DUMMYFUNCTION("""COMPUTED_VALUE"""),"круг")</f>
        <v>круг</v>
      </c>
      <c r="C605" s="7" t="str">
        <f ca="1">IFERROR(__xludf.DUMMYFUNCTION("""COMPUTED_VALUE"""),"13Х11Н2В2МФ-Ш (эи961ш)")</f>
        <v>13Х11Н2В2МФ-Ш (эи961ш)</v>
      </c>
      <c r="D605" s="13">
        <f ca="1">IFERROR(__xludf.DUMMYFUNCTION("""COMPUTED_VALUE"""),45)</f>
        <v>45</v>
      </c>
      <c r="E605" s="13"/>
      <c r="F605" s="14" t="str">
        <f ca="1">IFERROR(__xludf.DUMMYFUNCTION("""COMPUTED_VALUE"""),"14-1-3297/2590, АТП , УЗК")</f>
        <v>14-1-3297/2590, АТП , УЗК</v>
      </c>
      <c r="G605" s="15">
        <f ca="1">IFERROR(__xludf.DUMMYFUNCTION("""COMPUTED_VALUE"""),2)</f>
        <v>2</v>
      </c>
      <c r="H605" s="15"/>
      <c r="I605" s="16">
        <f ca="1">IFERROR(__xludf.DUMMYFUNCTION("""COMPUTED_VALUE"""),1350000)</f>
        <v>1350000</v>
      </c>
    </row>
    <row r="606" spans="2:9" x14ac:dyDescent="0.3">
      <c r="B606" s="12" t="str">
        <f ca="1">IFERROR(__xludf.DUMMYFUNCTION("""COMPUTED_VALUE"""),"круг")</f>
        <v>круг</v>
      </c>
      <c r="C606" s="7" t="str">
        <f ca="1">IFERROR(__xludf.DUMMYFUNCTION("""COMPUTED_VALUE"""),"13Х11Н2В2МФ-Ш (эи961ш)")</f>
        <v>13Х11Н2В2МФ-Ш (эи961ш)</v>
      </c>
      <c r="D606" s="13">
        <f ca="1">IFERROR(__xludf.DUMMYFUNCTION("""COMPUTED_VALUE"""),45)</f>
        <v>45</v>
      </c>
      <c r="E606" s="13"/>
      <c r="F606" s="14" t="str">
        <f ca="1">IFERROR(__xludf.DUMMYFUNCTION("""COMPUTED_VALUE"""),"14-1-3297/2590")</f>
        <v>14-1-3297/2590</v>
      </c>
      <c r="G606" s="15">
        <f ca="1">IFERROR(__xludf.DUMMYFUNCTION("""COMPUTED_VALUE"""),0.00200000000000022)</f>
        <v>2.0000000000002199E-3</v>
      </c>
      <c r="H606" s="15"/>
      <c r="I606" s="16">
        <f ca="1">IFERROR(__xludf.DUMMYFUNCTION("""COMPUTED_VALUE"""),1300000)</f>
        <v>1300000</v>
      </c>
    </row>
    <row r="607" spans="2:9" x14ac:dyDescent="0.3">
      <c r="B607" s="12" t="str">
        <f ca="1">IFERROR(__xludf.DUMMYFUNCTION("""COMPUTED_VALUE"""),"круг")</f>
        <v>круг</v>
      </c>
      <c r="C607" s="7" t="str">
        <f ca="1">IFERROR(__xludf.DUMMYFUNCTION("""COMPUTED_VALUE"""),"13Х11Н2В2МФ-Ш (эи961ш)")</f>
        <v>13Х11Н2В2МФ-Ш (эи961ш)</v>
      </c>
      <c r="D607" s="13">
        <f ca="1">IFERROR(__xludf.DUMMYFUNCTION("""COMPUTED_VALUE"""),50)</f>
        <v>50</v>
      </c>
      <c r="E607" s="13"/>
      <c r="F607" s="14" t="str">
        <f ca="1">IFERROR(__xludf.DUMMYFUNCTION("""COMPUTED_VALUE"""),"14-1-3297/2590, АТП , УЗК")</f>
        <v>14-1-3297/2590, АТП , УЗК</v>
      </c>
      <c r="G607" s="15">
        <f ca="1">IFERROR(__xludf.DUMMYFUNCTION("""COMPUTED_VALUE"""),0.038)</f>
        <v>3.7999999999999999E-2</v>
      </c>
      <c r="H607" s="15"/>
      <c r="I607" s="16">
        <f ca="1">IFERROR(__xludf.DUMMYFUNCTION("""COMPUTED_VALUE"""),1350000)</f>
        <v>1350000</v>
      </c>
    </row>
    <row r="608" spans="2:9" x14ac:dyDescent="0.3">
      <c r="B608" s="12" t="str">
        <f ca="1">IFERROR(__xludf.DUMMYFUNCTION("""COMPUTED_VALUE"""),"круг")</f>
        <v>круг</v>
      </c>
      <c r="C608" s="7" t="str">
        <f ca="1">IFERROR(__xludf.DUMMYFUNCTION("""COMPUTED_VALUE"""),"13Х11Н2В2МФ-Ш (эи961ш)")</f>
        <v>13Х11Н2В2МФ-Ш (эи961ш)</v>
      </c>
      <c r="D608" s="13">
        <f ca="1">IFERROR(__xludf.DUMMYFUNCTION("""COMPUTED_VALUE"""),50)</f>
        <v>50</v>
      </c>
      <c r="E608" s="13"/>
      <c r="F608" s="14" t="str">
        <f ca="1">IFERROR(__xludf.DUMMYFUNCTION("""COMPUTED_VALUE"""),"14-1-3297/2590, АТП , УЗК")</f>
        <v>14-1-3297/2590, АТП , УЗК</v>
      </c>
      <c r="G608" s="15">
        <f ca="1">IFERROR(__xludf.DUMMYFUNCTION("""COMPUTED_VALUE"""),0.126)</f>
        <v>0.126</v>
      </c>
      <c r="H608" s="15"/>
      <c r="I608" s="16">
        <f ca="1">IFERROR(__xludf.DUMMYFUNCTION("""COMPUTED_VALUE"""),1350000)</f>
        <v>1350000</v>
      </c>
    </row>
    <row r="609" spans="2:9" x14ac:dyDescent="0.3">
      <c r="B609" s="12" t="str">
        <f ca="1">IFERROR(__xludf.DUMMYFUNCTION("""COMPUTED_VALUE"""),"круг")</f>
        <v>круг</v>
      </c>
      <c r="C609" s="7" t="str">
        <f ca="1">IFERROR(__xludf.DUMMYFUNCTION("""COMPUTED_VALUE"""),"13Х11Н2В2МФ-Ш (эи961ш)")</f>
        <v>13Х11Н2В2МФ-Ш (эи961ш)</v>
      </c>
      <c r="D609" s="13">
        <f ca="1">IFERROR(__xludf.DUMMYFUNCTION("""COMPUTED_VALUE"""),50)</f>
        <v>50</v>
      </c>
      <c r="E609" s="13"/>
      <c r="F609" s="14" t="str">
        <f ca="1">IFERROR(__xludf.DUMMYFUNCTION("""COMPUTED_VALUE"""),"14-1-3297/2590, АТП , УЗК")</f>
        <v>14-1-3297/2590, АТП , УЗК</v>
      </c>
      <c r="G609" s="15">
        <f ca="1">IFERROR(__xludf.DUMMYFUNCTION("""COMPUTED_VALUE"""),0.297)</f>
        <v>0.29699999999999999</v>
      </c>
      <c r="H609" s="15"/>
      <c r="I609" s="16">
        <f ca="1">IFERROR(__xludf.DUMMYFUNCTION("""COMPUTED_VALUE"""),1350000)</f>
        <v>1350000</v>
      </c>
    </row>
    <row r="610" spans="2:9" x14ac:dyDescent="0.3">
      <c r="B610" s="12" t="str">
        <f ca="1">IFERROR(__xludf.DUMMYFUNCTION("""COMPUTED_VALUE"""),"круг")</f>
        <v>круг</v>
      </c>
      <c r="C610" s="7" t="str">
        <f ca="1">IFERROR(__xludf.DUMMYFUNCTION("""COMPUTED_VALUE"""),"13Х11Н2В2МФ-Ш (эи961ш)")</f>
        <v>13Х11Н2В2МФ-Ш (эи961ш)</v>
      </c>
      <c r="D610" s="13">
        <f ca="1">IFERROR(__xludf.DUMMYFUNCTION("""COMPUTED_VALUE"""),50)</f>
        <v>50</v>
      </c>
      <c r="E610" s="13"/>
      <c r="F610" s="14" t="str">
        <f ca="1">IFERROR(__xludf.DUMMYFUNCTION("""COMPUTED_VALUE"""),"14-1-3297/2590, АТП , УЗК")</f>
        <v>14-1-3297/2590, АТП , УЗК</v>
      </c>
      <c r="G610" s="15">
        <f ca="1">IFERROR(__xludf.DUMMYFUNCTION("""COMPUTED_VALUE"""),1.642)</f>
        <v>1.6419999999999999</v>
      </c>
      <c r="H610" s="15"/>
      <c r="I610" s="16">
        <f ca="1">IFERROR(__xludf.DUMMYFUNCTION("""COMPUTED_VALUE"""),1350000)</f>
        <v>1350000</v>
      </c>
    </row>
    <row r="611" spans="2:9" x14ac:dyDescent="0.3">
      <c r="B611" s="12" t="str">
        <f ca="1">IFERROR(__xludf.DUMMYFUNCTION("""COMPUTED_VALUE"""),"круг")</f>
        <v>круг</v>
      </c>
      <c r="C611" s="7" t="str">
        <f ca="1">IFERROR(__xludf.DUMMYFUNCTION("""COMPUTED_VALUE"""),"13Х11Н2В2МФ-Ш (эи961ш)")</f>
        <v>13Х11Н2В2МФ-Ш (эи961ш)</v>
      </c>
      <c r="D611" s="13">
        <f ca="1">IFERROR(__xludf.DUMMYFUNCTION("""COMPUTED_VALUE"""),56)</f>
        <v>56</v>
      </c>
      <c r="E611" s="13"/>
      <c r="F611" s="14" t="str">
        <f ca="1">IFERROR(__xludf.DUMMYFUNCTION("""COMPUTED_VALUE"""),"14-1-3297/2590")</f>
        <v>14-1-3297/2590</v>
      </c>
      <c r="G611" s="15">
        <f ca="1">IFERROR(__xludf.DUMMYFUNCTION("""COMPUTED_VALUE"""),0.792)</f>
        <v>0.79200000000000004</v>
      </c>
      <c r="H611" s="15"/>
      <c r="I611" s="16">
        <f ca="1">IFERROR(__xludf.DUMMYFUNCTION("""COMPUTED_VALUE"""),1100000)</f>
        <v>1100000</v>
      </c>
    </row>
    <row r="612" spans="2:9" x14ac:dyDescent="0.3">
      <c r="B612" s="12" t="str">
        <f ca="1">IFERROR(__xludf.DUMMYFUNCTION("""COMPUTED_VALUE"""),"круг")</f>
        <v>круг</v>
      </c>
      <c r="C612" s="7" t="str">
        <f ca="1">IFERROR(__xludf.DUMMYFUNCTION("""COMPUTED_VALUE"""),"13Х11Н2В2МФ-Ш (эи961ш)")</f>
        <v>13Х11Н2В2МФ-Ш (эи961ш)</v>
      </c>
      <c r="D612" s="13">
        <f ca="1">IFERROR(__xludf.DUMMYFUNCTION("""COMPUTED_VALUE"""),60)</f>
        <v>60</v>
      </c>
      <c r="E612" s="13"/>
      <c r="F612" s="14" t="str">
        <f ca="1">IFERROR(__xludf.DUMMYFUNCTION("""COMPUTED_VALUE"""),"14-1-3297/2590, РТТ")</f>
        <v>14-1-3297/2590, РТТ</v>
      </c>
      <c r="G612" s="15">
        <f ca="1">IFERROR(__xludf.DUMMYFUNCTION("""COMPUTED_VALUE"""),0.435999999999999)</f>
        <v>0.435999999999999</v>
      </c>
      <c r="H612" s="15"/>
      <c r="I612" s="16">
        <f ca="1">IFERROR(__xludf.DUMMYFUNCTION("""COMPUTED_VALUE"""),1100000)</f>
        <v>1100000</v>
      </c>
    </row>
    <row r="613" spans="2:9" x14ac:dyDescent="0.3">
      <c r="B613" s="12" t="str">
        <f ca="1">IFERROR(__xludf.DUMMYFUNCTION("""COMPUTED_VALUE"""),"круг")</f>
        <v>круг</v>
      </c>
      <c r="C613" s="7" t="str">
        <f ca="1">IFERROR(__xludf.DUMMYFUNCTION("""COMPUTED_VALUE"""),"13Х11Н2В2МФ-Ш (эи961ш)")</f>
        <v>13Х11Н2В2МФ-Ш (эи961ш)</v>
      </c>
      <c r="D613" s="13">
        <f ca="1">IFERROR(__xludf.DUMMYFUNCTION("""COMPUTED_VALUE"""),60)</f>
        <v>60</v>
      </c>
      <c r="E613" s="13"/>
      <c r="F613" s="14" t="str">
        <f ca="1">IFERROR(__xludf.DUMMYFUNCTION("""COMPUTED_VALUE"""),"14-1-3297/2590  РТ, УЗК, об, отж.")</f>
        <v>14-1-3297/2590  РТ, УЗК, об, отж.</v>
      </c>
      <c r="G613" s="15">
        <f ca="1">IFERROR(__xludf.DUMMYFUNCTION("""COMPUTED_VALUE"""),1.968)</f>
        <v>1.968</v>
      </c>
      <c r="H613" s="15"/>
      <c r="I613" s="16">
        <f ca="1">IFERROR(__xludf.DUMMYFUNCTION("""COMPUTED_VALUE"""),1100000)</f>
        <v>1100000</v>
      </c>
    </row>
    <row r="614" spans="2:9" x14ac:dyDescent="0.3">
      <c r="B614" s="12" t="str">
        <f ca="1">IFERROR(__xludf.DUMMYFUNCTION("""COMPUTED_VALUE"""),"круг")</f>
        <v>круг</v>
      </c>
      <c r="C614" s="7" t="str">
        <f ca="1">IFERROR(__xludf.DUMMYFUNCTION("""COMPUTED_VALUE"""),"13Х11Н2В2МФ-Ш (эи961ш)")</f>
        <v>13Х11Н2В2МФ-Ш (эи961ш)</v>
      </c>
      <c r="D614" s="13">
        <f ca="1">IFERROR(__xludf.DUMMYFUNCTION("""COMPUTED_VALUE"""),65)</f>
        <v>65</v>
      </c>
      <c r="E614" s="13"/>
      <c r="F614" s="14" t="str">
        <f ca="1">IFERROR(__xludf.DUMMYFUNCTION("""COMPUTED_VALUE"""),"14-1-3297/2590, АТП , 3гп ,без УЗК")</f>
        <v>14-1-3297/2590, АТП , 3гп ,без УЗК</v>
      </c>
      <c r="G614" s="15">
        <f ca="1">IFERROR(__xludf.DUMMYFUNCTION("""COMPUTED_VALUE"""),1.00499999999999)</f>
        <v>1.0049999999999899</v>
      </c>
      <c r="H614" s="15"/>
      <c r="I614" s="16">
        <f ca="1">IFERROR(__xludf.DUMMYFUNCTION("""COMPUTED_VALUE"""),1350000)</f>
        <v>1350000</v>
      </c>
    </row>
    <row r="615" spans="2:9" x14ac:dyDescent="0.3">
      <c r="B615" s="12" t="str">
        <f ca="1">IFERROR(__xludf.DUMMYFUNCTION("""COMPUTED_VALUE"""),"круг")</f>
        <v>круг</v>
      </c>
      <c r="C615" s="7" t="str">
        <f ca="1">IFERROR(__xludf.DUMMYFUNCTION("""COMPUTED_VALUE"""),"13Х11Н2В2МФ-Ш (эи961ш)")</f>
        <v>13Х11Н2В2МФ-Ш (эи961ш)</v>
      </c>
      <c r="D615" s="13">
        <f ca="1">IFERROR(__xludf.DUMMYFUNCTION("""COMPUTED_VALUE"""),70)</f>
        <v>70</v>
      </c>
      <c r="E615" s="13"/>
      <c r="F615" s="14" t="str">
        <f ca="1">IFERROR(__xludf.DUMMYFUNCTION("""COMPUTED_VALUE"""),"14-1-3297/2590, АТП , 3гп ,без УЗК")</f>
        <v>14-1-3297/2590, АТП , 3гп ,без УЗК</v>
      </c>
      <c r="G615" s="15">
        <f ca="1">IFERROR(__xludf.DUMMYFUNCTION("""COMPUTED_VALUE"""),0.157)</f>
        <v>0.157</v>
      </c>
      <c r="H615" s="15"/>
      <c r="I615" s="16">
        <f ca="1">IFERROR(__xludf.DUMMYFUNCTION("""COMPUTED_VALUE"""),1100000)</f>
        <v>1100000</v>
      </c>
    </row>
    <row r="616" spans="2:9" x14ac:dyDescent="0.3">
      <c r="B616" s="12" t="str">
        <f ca="1">IFERROR(__xludf.DUMMYFUNCTION("""COMPUTED_VALUE"""),"круг")</f>
        <v>круг</v>
      </c>
      <c r="C616" s="7" t="str">
        <f ca="1">IFERROR(__xludf.DUMMYFUNCTION("""COMPUTED_VALUE"""),"13Х11Н2В2МФ-Ш (эи961ш)")</f>
        <v>13Х11Н2В2МФ-Ш (эи961ш)</v>
      </c>
      <c r="D616" s="13">
        <f ca="1">IFERROR(__xludf.DUMMYFUNCTION("""COMPUTED_VALUE"""),70)</f>
        <v>70</v>
      </c>
      <c r="E616" s="13"/>
      <c r="F616" s="14" t="str">
        <f ca="1">IFERROR(__xludf.DUMMYFUNCTION("""COMPUTED_VALUE"""),"14-1-3297/2590, АТП , УЗК")</f>
        <v>14-1-3297/2590, АТП , УЗК</v>
      </c>
      <c r="G616" s="15">
        <f ca="1">IFERROR(__xludf.DUMMYFUNCTION("""COMPUTED_VALUE"""),0.705)</f>
        <v>0.70499999999999996</v>
      </c>
      <c r="H616" s="15"/>
      <c r="I616" s="16">
        <f ca="1">IFERROR(__xludf.DUMMYFUNCTION("""COMPUTED_VALUE"""),1100000)</f>
        <v>1100000</v>
      </c>
    </row>
    <row r="617" spans="2:9" x14ac:dyDescent="0.3">
      <c r="B617" s="12" t="str">
        <f ca="1">IFERROR(__xludf.DUMMYFUNCTION("""COMPUTED_VALUE"""),"круг")</f>
        <v>круг</v>
      </c>
      <c r="C617" s="7" t="str">
        <f ca="1">IFERROR(__xludf.DUMMYFUNCTION("""COMPUTED_VALUE"""),"13Х11Н2В2МФ-Ш (эи961ш)")</f>
        <v>13Х11Н2В2МФ-Ш (эи961ш)</v>
      </c>
      <c r="D617" s="13">
        <f ca="1">IFERROR(__xludf.DUMMYFUNCTION("""COMPUTED_VALUE"""),70)</f>
        <v>70</v>
      </c>
      <c r="E617" s="13"/>
      <c r="F617" s="14" t="str">
        <f ca="1">IFERROR(__xludf.DUMMYFUNCTION("""COMPUTED_VALUE"""),"14-1-3297/2590, АТП , УЗК")</f>
        <v>14-1-3297/2590, АТП , УЗК</v>
      </c>
      <c r="G617" s="15">
        <f ca="1">IFERROR(__xludf.DUMMYFUNCTION("""COMPUTED_VALUE"""),0.715)</f>
        <v>0.71499999999999997</v>
      </c>
      <c r="H617" s="15"/>
      <c r="I617" s="16">
        <f ca="1">IFERROR(__xludf.DUMMYFUNCTION("""COMPUTED_VALUE"""),1100000)</f>
        <v>1100000</v>
      </c>
    </row>
    <row r="618" spans="2:9" x14ac:dyDescent="0.3">
      <c r="B618" s="12" t="str">
        <f ca="1">IFERROR(__xludf.DUMMYFUNCTION("""COMPUTED_VALUE"""),"круг")</f>
        <v>круг</v>
      </c>
      <c r="C618" s="7" t="str">
        <f ca="1">IFERROR(__xludf.DUMMYFUNCTION("""COMPUTED_VALUE"""),"13Х11Н2В2МФ-Ш (эи961ш)")</f>
        <v>13Х11Н2В2МФ-Ш (эи961ш)</v>
      </c>
      <c r="D618" s="13">
        <f ca="1">IFERROR(__xludf.DUMMYFUNCTION("""COMPUTED_VALUE"""),70)</f>
        <v>70</v>
      </c>
      <c r="E618" s="13"/>
      <c r="F618" s="14" t="str">
        <f ca="1">IFERROR(__xludf.DUMMYFUNCTION("""COMPUTED_VALUE"""),"14-1-3297/2590, АТП , 3гп ,без УЗК")</f>
        <v>14-1-3297/2590, АТП , 3гп ,без УЗК</v>
      </c>
      <c r="G618" s="15">
        <f ca="1">IFERROR(__xludf.DUMMYFUNCTION("""COMPUTED_VALUE"""),0.109999999999999)</f>
        <v>0.109999999999999</v>
      </c>
      <c r="H618" s="15"/>
      <c r="I618" s="16">
        <f ca="1">IFERROR(__xludf.DUMMYFUNCTION("""COMPUTED_VALUE"""),1100000)</f>
        <v>1100000</v>
      </c>
    </row>
    <row r="619" spans="2:9" x14ac:dyDescent="0.3">
      <c r="B619" s="12" t="str">
        <f ca="1">IFERROR(__xludf.DUMMYFUNCTION("""COMPUTED_VALUE"""),"круг")</f>
        <v>круг</v>
      </c>
      <c r="C619" s="7" t="str">
        <f ca="1">IFERROR(__xludf.DUMMYFUNCTION("""COMPUTED_VALUE"""),"13Х11Н2В2МФ-Ш (эи961ш)")</f>
        <v>13Х11Н2В2МФ-Ш (эи961ш)</v>
      </c>
      <c r="D619" s="13">
        <f ca="1">IFERROR(__xludf.DUMMYFUNCTION("""COMPUTED_VALUE"""),75)</f>
        <v>75</v>
      </c>
      <c r="E619" s="13"/>
      <c r="F619" s="14" t="str">
        <f ca="1">IFERROR(__xludf.DUMMYFUNCTION("""COMPUTED_VALUE"""),"14-1-3297/2590, АТП , УЗК")</f>
        <v>14-1-3297/2590, АТП , УЗК</v>
      </c>
      <c r="G619" s="15">
        <f ca="1">IFERROR(__xludf.DUMMYFUNCTION("""COMPUTED_VALUE"""),0.155)</f>
        <v>0.155</v>
      </c>
      <c r="H619" s="15"/>
      <c r="I619" s="16">
        <f ca="1">IFERROR(__xludf.DUMMYFUNCTION("""COMPUTED_VALUE"""),1350000)</f>
        <v>1350000</v>
      </c>
    </row>
    <row r="620" spans="2:9" x14ac:dyDescent="0.3">
      <c r="B620" s="12" t="str">
        <f ca="1">IFERROR(__xludf.DUMMYFUNCTION("""COMPUTED_VALUE"""),"круг")</f>
        <v>круг</v>
      </c>
      <c r="C620" s="7" t="str">
        <f ca="1">IFERROR(__xludf.DUMMYFUNCTION("""COMPUTED_VALUE"""),"13Х11Н2В2МФ-Ш (эи961ш)")</f>
        <v>13Х11Н2В2МФ-Ш (эи961ш)</v>
      </c>
      <c r="D620" s="13">
        <f ca="1">IFERROR(__xludf.DUMMYFUNCTION("""COMPUTED_VALUE"""),75)</f>
        <v>75</v>
      </c>
      <c r="E620" s="13"/>
      <c r="F620" s="14" t="str">
        <f ca="1">IFERROR(__xludf.DUMMYFUNCTION("""COMPUTED_VALUE"""),"14-1-3297/2590, АТП , УЗК")</f>
        <v>14-1-3297/2590, АТП , УЗК</v>
      </c>
      <c r="G620" s="15">
        <f ca="1">IFERROR(__xludf.DUMMYFUNCTION("""COMPUTED_VALUE"""),2.07)</f>
        <v>2.0699999999999998</v>
      </c>
      <c r="H620" s="15"/>
      <c r="I620" s="16">
        <f ca="1">IFERROR(__xludf.DUMMYFUNCTION("""COMPUTED_VALUE"""),1350000)</f>
        <v>1350000</v>
      </c>
    </row>
    <row r="621" spans="2:9" x14ac:dyDescent="0.3">
      <c r="B621" s="12" t="str">
        <f ca="1">IFERROR(__xludf.DUMMYFUNCTION("""COMPUTED_VALUE"""),"круг")</f>
        <v>круг</v>
      </c>
      <c r="C621" s="7" t="str">
        <f ca="1">IFERROR(__xludf.DUMMYFUNCTION("""COMPUTED_VALUE"""),"13Х11Н2В2МФ-Ш (эи961ш)")</f>
        <v>13Х11Н2В2МФ-Ш (эи961ш)</v>
      </c>
      <c r="D621" s="13">
        <f ca="1">IFERROR(__xludf.DUMMYFUNCTION("""COMPUTED_VALUE"""),80)</f>
        <v>80</v>
      </c>
      <c r="E621" s="13"/>
      <c r="F621" s="14" t="str">
        <f ca="1">IFERROR(__xludf.DUMMYFUNCTION("""COMPUTED_VALUE"""),"14-1-3297/2590 РТ ")</f>
        <v xml:space="preserve">14-1-3297/2590 РТ </v>
      </c>
      <c r="G621" s="15">
        <f ca="1">IFERROR(__xludf.DUMMYFUNCTION("""COMPUTED_VALUE"""),0.854)</f>
        <v>0.85399999999999998</v>
      </c>
      <c r="H621" s="15"/>
      <c r="I621" s="16">
        <f ca="1">IFERROR(__xludf.DUMMYFUNCTION("""COMPUTED_VALUE"""),1100000)</f>
        <v>1100000</v>
      </c>
    </row>
    <row r="622" spans="2:9" x14ac:dyDescent="0.3">
      <c r="B622" s="12" t="str">
        <f ca="1">IFERROR(__xludf.DUMMYFUNCTION("""COMPUTED_VALUE"""),"круг")</f>
        <v>круг</v>
      </c>
      <c r="C622" s="7" t="str">
        <f ca="1">IFERROR(__xludf.DUMMYFUNCTION("""COMPUTED_VALUE"""),"13Х11Н2В2МФ-Ш (эи961ш)")</f>
        <v>13Х11Н2В2МФ-Ш (эи961ш)</v>
      </c>
      <c r="D622" s="13">
        <f ca="1">IFERROR(__xludf.DUMMYFUNCTION("""COMPUTED_VALUE"""),80)</f>
        <v>80</v>
      </c>
      <c r="E622" s="13"/>
      <c r="F622" s="14" t="str">
        <f ca="1">IFERROR(__xludf.DUMMYFUNCTION("""COMPUTED_VALUE"""),"14-1-3297/2590 РТ ")</f>
        <v xml:space="preserve">14-1-3297/2590 РТ </v>
      </c>
      <c r="G622" s="15">
        <f ca="1">IFERROR(__xludf.DUMMYFUNCTION("""COMPUTED_VALUE"""),0.65)</f>
        <v>0.65</v>
      </c>
      <c r="H622" s="15"/>
      <c r="I622" s="16">
        <f ca="1">IFERROR(__xludf.DUMMYFUNCTION("""COMPUTED_VALUE"""),1100000)</f>
        <v>1100000</v>
      </c>
    </row>
    <row r="623" spans="2:9" x14ac:dyDescent="0.3">
      <c r="B623" s="12" t="str">
        <f ca="1">IFERROR(__xludf.DUMMYFUNCTION("""COMPUTED_VALUE"""),"круг")</f>
        <v>круг</v>
      </c>
      <c r="C623" s="7" t="str">
        <f ca="1">IFERROR(__xludf.DUMMYFUNCTION("""COMPUTED_VALUE"""),"13Х11Н2В2МФ-Ш (эи961ш)")</f>
        <v>13Х11Н2В2МФ-Ш (эи961ш)</v>
      </c>
      <c r="D623" s="13">
        <f ca="1">IFERROR(__xludf.DUMMYFUNCTION("""COMPUTED_VALUE"""),80)</f>
        <v>80</v>
      </c>
      <c r="E623" s="13"/>
      <c r="F623" s="14" t="str">
        <f ca="1">IFERROR(__xludf.DUMMYFUNCTION("""COMPUTED_VALUE"""),"14-1-3297/2590, АТП , 3гп ,без УЗК")</f>
        <v>14-1-3297/2590, АТП , 3гп ,без УЗК</v>
      </c>
      <c r="G623" s="15">
        <f ca="1">IFERROR(__xludf.DUMMYFUNCTION("""COMPUTED_VALUE"""),0.345)</f>
        <v>0.34499999999999997</v>
      </c>
      <c r="H623" s="15"/>
      <c r="I623" s="16">
        <f ca="1">IFERROR(__xludf.DUMMYFUNCTION("""COMPUTED_VALUE"""),1100000)</f>
        <v>1100000</v>
      </c>
    </row>
    <row r="624" spans="2:9" x14ac:dyDescent="0.3">
      <c r="B624" s="12" t="str">
        <f ca="1">IFERROR(__xludf.DUMMYFUNCTION("""COMPUTED_VALUE"""),"круг")</f>
        <v>круг</v>
      </c>
      <c r="C624" s="7" t="str">
        <f ca="1">IFERROR(__xludf.DUMMYFUNCTION("""COMPUTED_VALUE"""),"13Х11Н2В2МФ-Ш (эи961ш)")</f>
        <v>13Х11Н2В2МФ-Ш (эи961ш)</v>
      </c>
      <c r="D624" s="13">
        <f ca="1">IFERROR(__xludf.DUMMYFUNCTION("""COMPUTED_VALUE"""),80)</f>
        <v>80</v>
      </c>
      <c r="E624" s="13"/>
      <c r="F624" s="14" t="str">
        <f ca="1">IFERROR(__xludf.DUMMYFUNCTION("""COMPUTED_VALUE"""),"14-1-3297/2590, АТП , 3гп ,без УЗК")</f>
        <v>14-1-3297/2590, АТП , 3гп ,без УЗК</v>
      </c>
      <c r="G624" s="15">
        <f ca="1">IFERROR(__xludf.DUMMYFUNCTION("""COMPUTED_VALUE"""),1.38)</f>
        <v>1.38</v>
      </c>
      <c r="H624" s="15"/>
      <c r="I624" s="16">
        <f ca="1">IFERROR(__xludf.DUMMYFUNCTION("""COMPUTED_VALUE"""),1100000)</f>
        <v>1100000</v>
      </c>
    </row>
    <row r="625" spans="2:9" x14ac:dyDescent="0.3">
      <c r="B625" s="12" t="str">
        <f ca="1">IFERROR(__xludf.DUMMYFUNCTION("""COMPUTED_VALUE"""),"круг")</f>
        <v>круг</v>
      </c>
      <c r="C625" s="7" t="str">
        <f ca="1">IFERROR(__xludf.DUMMYFUNCTION("""COMPUTED_VALUE"""),"13Х11Н2В2МФ-Ш (эи961ш)")</f>
        <v>13Х11Н2В2МФ-Ш (эи961ш)</v>
      </c>
      <c r="D625" s="13">
        <f ca="1">IFERROR(__xludf.DUMMYFUNCTION("""COMPUTED_VALUE"""),90)</f>
        <v>90</v>
      </c>
      <c r="E625" s="13"/>
      <c r="F625" s="14" t="str">
        <f ca="1">IFERROR(__xludf.DUMMYFUNCTION("""COMPUTED_VALUE"""),"14-1-3297/2590  РТ, ")</f>
        <v xml:space="preserve">14-1-3297/2590  РТ, </v>
      </c>
      <c r="G625" s="15">
        <f ca="1">IFERROR(__xludf.DUMMYFUNCTION("""COMPUTED_VALUE"""),0.0719999999999998)</f>
        <v>7.19999999999998E-2</v>
      </c>
      <c r="H625" s="15"/>
      <c r="I625" s="16">
        <f ca="1">IFERROR(__xludf.DUMMYFUNCTION("""COMPUTED_VALUE"""),1100000)</f>
        <v>1100000</v>
      </c>
    </row>
    <row r="626" spans="2:9" x14ac:dyDescent="0.3">
      <c r="B626" s="12" t="str">
        <f ca="1">IFERROR(__xludf.DUMMYFUNCTION("""COMPUTED_VALUE"""),"круг")</f>
        <v>круг</v>
      </c>
      <c r="C626" s="7" t="str">
        <f ca="1">IFERROR(__xludf.DUMMYFUNCTION("""COMPUTED_VALUE"""),"13Х11Н2В2МФ-Ш (эи961ш)")</f>
        <v>13Х11Н2В2МФ-Ш (эи961ш)</v>
      </c>
      <c r="D626" s="13">
        <f ca="1">IFERROR(__xludf.DUMMYFUNCTION("""COMPUTED_VALUE"""),90)</f>
        <v>90</v>
      </c>
      <c r="E626" s="13"/>
      <c r="F626" s="14" t="str">
        <f ca="1">IFERROR(__xludf.DUMMYFUNCTION("""COMPUTED_VALUE"""),"14-1-3297/2590 РТ ")</f>
        <v xml:space="preserve">14-1-3297/2590 РТ </v>
      </c>
      <c r="G626" s="15">
        <f ca="1">IFERROR(__xludf.DUMMYFUNCTION("""COMPUTED_VALUE"""),1.275)</f>
        <v>1.2749999999999999</v>
      </c>
      <c r="H626" s="15"/>
      <c r="I626" s="16">
        <f ca="1">IFERROR(__xludf.DUMMYFUNCTION("""COMPUTED_VALUE"""),1100000)</f>
        <v>1100000</v>
      </c>
    </row>
    <row r="627" spans="2:9" x14ac:dyDescent="0.3">
      <c r="B627" s="12" t="str">
        <f ca="1">IFERROR(__xludf.DUMMYFUNCTION("""COMPUTED_VALUE"""),"круг")</f>
        <v>круг</v>
      </c>
      <c r="C627" s="7" t="str">
        <f ca="1">IFERROR(__xludf.DUMMYFUNCTION("""COMPUTED_VALUE"""),"13Х11Н2В2МФ-Ш (эи961ш)")</f>
        <v>13Х11Н2В2МФ-Ш (эи961ш)</v>
      </c>
      <c r="D627" s="13">
        <f ca="1">IFERROR(__xludf.DUMMYFUNCTION("""COMPUTED_VALUE"""),90)</f>
        <v>90</v>
      </c>
      <c r="E627" s="13"/>
      <c r="F627" s="14" t="str">
        <f ca="1">IFERROR(__xludf.DUMMYFUNCTION("""COMPUTED_VALUE"""),"14-1-3297/2590, АТП , 3гп ,без УЗК")</f>
        <v>14-1-3297/2590, АТП , 3гп ,без УЗК</v>
      </c>
      <c r="G627" s="15">
        <f ca="1">IFERROR(__xludf.DUMMYFUNCTION("""COMPUTED_VALUE"""),2)</f>
        <v>2</v>
      </c>
      <c r="H627" s="15"/>
      <c r="I627" s="16">
        <f ca="1">IFERROR(__xludf.DUMMYFUNCTION("""COMPUTED_VALUE"""),1100000)</f>
        <v>1100000</v>
      </c>
    </row>
    <row r="628" spans="2:9" x14ac:dyDescent="0.3">
      <c r="B628" s="12" t="str">
        <f ca="1">IFERROR(__xludf.DUMMYFUNCTION("""COMPUTED_VALUE"""),"круг")</f>
        <v>круг</v>
      </c>
      <c r="C628" s="7" t="str">
        <f ca="1">IFERROR(__xludf.DUMMYFUNCTION("""COMPUTED_VALUE"""),"13Х11Н2В2МФ-Ш (эи961ш)")</f>
        <v>13Х11Н2В2МФ-Ш (эи961ш)</v>
      </c>
      <c r="D628" s="13">
        <f ca="1">IFERROR(__xludf.DUMMYFUNCTION("""COMPUTED_VALUE"""),90)</f>
        <v>90</v>
      </c>
      <c r="E628" s="13"/>
      <c r="F628" s="14" t="str">
        <f ca="1">IFERROR(__xludf.DUMMYFUNCTION("""COMPUTED_VALUE"""),"14-1-3297/2590  РТ, УЗК, об, отж.")</f>
        <v>14-1-3297/2590  РТ, УЗК, об, отж.</v>
      </c>
      <c r="G628" s="15">
        <f ca="1">IFERROR(__xludf.DUMMYFUNCTION("""COMPUTED_VALUE"""),1.383)</f>
        <v>1.383</v>
      </c>
      <c r="H628" s="15"/>
      <c r="I628" s="16">
        <f ca="1">IFERROR(__xludf.DUMMYFUNCTION("""COMPUTED_VALUE"""),1100000)</f>
        <v>1100000</v>
      </c>
    </row>
    <row r="629" spans="2:9" x14ac:dyDescent="0.3">
      <c r="B629" s="12" t="str">
        <f ca="1">IFERROR(__xludf.DUMMYFUNCTION("""COMPUTED_VALUE"""),"круг")</f>
        <v>круг</v>
      </c>
      <c r="C629" s="7" t="str">
        <f ca="1">IFERROR(__xludf.DUMMYFUNCTION("""COMPUTED_VALUE"""),"13Х11Н2В2МФ-Ш (эи961ш)")</f>
        <v>13Х11Н2В2МФ-Ш (эи961ш)</v>
      </c>
      <c r="D629" s="13">
        <f ca="1">IFERROR(__xludf.DUMMYFUNCTION("""COMPUTED_VALUE"""),90)</f>
        <v>90</v>
      </c>
      <c r="E629" s="13"/>
      <c r="F629" s="14" t="str">
        <f ca="1">IFERROR(__xludf.DUMMYFUNCTION("""COMPUTED_VALUE"""),"14-1-3297/2590  РТ, УЗК, об, отж.")</f>
        <v>14-1-3297/2590  РТ, УЗК, об, отж.</v>
      </c>
      <c r="G629" s="15">
        <f ca="1">IFERROR(__xludf.DUMMYFUNCTION("""COMPUTED_VALUE"""),1.431)</f>
        <v>1.431</v>
      </c>
      <c r="H629" s="15"/>
      <c r="I629" s="16">
        <f ca="1">IFERROR(__xludf.DUMMYFUNCTION("""COMPUTED_VALUE"""),1100000)</f>
        <v>1100000</v>
      </c>
    </row>
    <row r="630" spans="2:9" x14ac:dyDescent="0.3">
      <c r="B630" s="12" t="str">
        <f ca="1">IFERROR(__xludf.DUMMYFUNCTION("""COMPUTED_VALUE"""),"круг")</f>
        <v>круг</v>
      </c>
      <c r="C630" s="7" t="str">
        <f ca="1">IFERROR(__xludf.DUMMYFUNCTION("""COMPUTED_VALUE"""),"13Х11Н2В2МФ-Ш (эи961ш)")</f>
        <v>13Х11Н2В2МФ-Ш (эи961ш)</v>
      </c>
      <c r="D630" s="13">
        <f ca="1">IFERROR(__xludf.DUMMYFUNCTION("""COMPUTED_VALUE"""),95)</f>
        <v>95</v>
      </c>
      <c r="E630" s="13"/>
      <c r="F630" s="14" t="str">
        <f ca="1">IFERROR(__xludf.DUMMYFUNCTION("""COMPUTED_VALUE"""),"14-1-3297/2590  РТ, УЗК, об, отж.")</f>
        <v>14-1-3297/2590  РТ, УЗК, об, отж.</v>
      </c>
      <c r="G630" s="15">
        <f ca="1">IFERROR(__xludf.DUMMYFUNCTION("""COMPUTED_VALUE"""),2.6)</f>
        <v>2.6</v>
      </c>
      <c r="H630" s="15"/>
      <c r="I630" s="16">
        <f ca="1">IFERROR(__xludf.DUMMYFUNCTION("""COMPUTED_VALUE"""),1100000)</f>
        <v>1100000</v>
      </c>
    </row>
    <row r="631" spans="2:9" x14ac:dyDescent="0.3">
      <c r="B631" s="12" t="str">
        <f ca="1">IFERROR(__xludf.DUMMYFUNCTION("""COMPUTED_VALUE"""),"круг")</f>
        <v>круг</v>
      </c>
      <c r="C631" s="7" t="str">
        <f ca="1">IFERROR(__xludf.DUMMYFUNCTION("""COMPUTED_VALUE"""),"13Х11Н2В2МФ-Ш (эи961ш)")</f>
        <v>13Х11Н2В2МФ-Ш (эи961ш)</v>
      </c>
      <c r="D631" s="13">
        <f ca="1">IFERROR(__xludf.DUMMYFUNCTION("""COMPUTED_VALUE"""),100)</f>
        <v>100</v>
      </c>
      <c r="E631" s="13"/>
      <c r="F631" s="14" t="str">
        <f ca="1">IFERROR(__xludf.DUMMYFUNCTION("""COMPUTED_VALUE"""),"14-1-3297/2590")</f>
        <v>14-1-3297/2590</v>
      </c>
      <c r="G631" s="15">
        <f ca="1">IFERROR(__xludf.DUMMYFUNCTION("""COMPUTED_VALUE"""),0.580999999999999)</f>
        <v>0.58099999999999896</v>
      </c>
      <c r="H631" s="15"/>
      <c r="I631" s="16">
        <f ca="1">IFERROR(__xludf.DUMMYFUNCTION("""COMPUTED_VALUE"""),1100000)</f>
        <v>1100000</v>
      </c>
    </row>
    <row r="632" spans="2:9" x14ac:dyDescent="0.3">
      <c r="B632" s="12" t="str">
        <f ca="1">IFERROR(__xludf.DUMMYFUNCTION("""COMPUTED_VALUE"""),"круг")</f>
        <v>круг</v>
      </c>
      <c r="C632" s="7" t="str">
        <f ca="1">IFERROR(__xludf.DUMMYFUNCTION("""COMPUTED_VALUE"""),"13Х11Н2В2МФ-Ш (эи961ш)")</f>
        <v>13Х11Н2В2МФ-Ш (эи961ш)</v>
      </c>
      <c r="D632" s="13">
        <f ca="1">IFERROR(__xludf.DUMMYFUNCTION("""COMPUTED_VALUE"""),100)</f>
        <v>100</v>
      </c>
      <c r="E632" s="13"/>
      <c r="F632" s="14" t="str">
        <f ca="1">IFERROR(__xludf.DUMMYFUNCTION("""COMPUTED_VALUE"""),"14-1-3297/2590  РТ, УЗК, об, отж.")</f>
        <v>14-1-3297/2590  РТ, УЗК, об, отж.</v>
      </c>
      <c r="G632" s="15">
        <f ca="1">IFERROR(__xludf.DUMMYFUNCTION("""COMPUTED_VALUE"""),2.93)</f>
        <v>2.93</v>
      </c>
      <c r="H632" s="15"/>
      <c r="I632" s="16">
        <f ca="1">IFERROR(__xludf.DUMMYFUNCTION("""COMPUTED_VALUE"""),1100000)</f>
        <v>1100000</v>
      </c>
    </row>
    <row r="633" spans="2:9" x14ac:dyDescent="0.3">
      <c r="B633" s="12" t="str">
        <f ca="1">IFERROR(__xludf.DUMMYFUNCTION("""COMPUTED_VALUE"""),"круг")</f>
        <v>круг</v>
      </c>
      <c r="C633" s="7" t="str">
        <f ca="1">IFERROR(__xludf.DUMMYFUNCTION("""COMPUTED_VALUE"""),"13Х11Н2В2МФ-Ш (эи961ш)")</f>
        <v>13Х11Н2В2МФ-Ш (эи961ш)</v>
      </c>
      <c r="D633" s="13">
        <f ca="1">IFERROR(__xludf.DUMMYFUNCTION("""COMPUTED_VALUE"""),110)</f>
        <v>110</v>
      </c>
      <c r="E633" s="13"/>
      <c r="F633" s="14" t="str">
        <f ca="1">IFERROR(__xludf.DUMMYFUNCTION("""COMPUTED_VALUE"""),"14-1-3297/2590 БЕЗ РТ пл 521735")</f>
        <v>14-1-3297/2590 БЕЗ РТ пл 521735</v>
      </c>
      <c r="G633" s="15">
        <f ca="1">IFERROR(__xludf.DUMMYFUNCTION("""COMPUTED_VALUE"""),1.093)</f>
        <v>1.093</v>
      </c>
      <c r="H633" s="15"/>
      <c r="I633" s="16">
        <f ca="1">IFERROR(__xludf.DUMMYFUNCTION("""COMPUTED_VALUE"""),850000)</f>
        <v>850000</v>
      </c>
    </row>
    <row r="634" spans="2:9" x14ac:dyDescent="0.3">
      <c r="B634" s="12" t="str">
        <f ca="1">IFERROR(__xludf.DUMMYFUNCTION("""COMPUTED_VALUE"""),"круг")</f>
        <v>круг</v>
      </c>
      <c r="C634" s="7" t="str">
        <f ca="1">IFERROR(__xludf.DUMMYFUNCTION("""COMPUTED_VALUE"""),"13Х11Н2В2МФ-Ш (эи961ш)")</f>
        <v>13Х11Н2В2МФ-Ш (эи961ш)</v>
      </c>
      <c r="D634" s="13">
        <f ca="1">IFERROR(__xludf.DUMMYFUNCTION("""COMPUTED_VALUE"""),110)</f>
        <v>110</v>
      </c>
      <c r="E634" s="13"/>
      <c r="F634" s="14" t="str">
        <f ca="1">IFERROR(__xludf.DUMMYFUNCTION("""COMPUTED_VALUE"""),"14-1-3297/2590  РТ, УЗК, об, отж.")</f>
        <v>14-1-3297/2590  РТ, УЗК, об, отж.</v>
      </c>
      <c r="G634" s="15">
        <f ca="1">IFERROR(__xludf.DUMMYFUNCTION("""COMPUTED_VALUE"""),1.673)</f>
        <v>1.673</v>
      </c>
      <c r="H634" s="15"/>
      <c r="I634" s="16">
        <f ca="1">IFERROR(__xludf.DUMMYFUNCTION("""COMPUTED_VALUE"""),1100000)</f>
        <v>1100000</v>
      </c>
    </row>
    <row r="635" spans="2:9" x14ac:dyDescent="0.3">
      <c r="B635" s="12" t="str">
        <f ca="1">IFERROR(__xludf.DUMMYFUNCTION("""COMPUTED_VALUE"""),"круг")</f>
        <v>круг</v>
      </c>
      <c r="C635" s="7" t="str">
        <f ca="1">IFERROR(__xludf.DUMMYFUNCTION("""COMPUTED_VALUE"""),"13Х11Н2В2МФ-Ш (эи961ш)")</f>
        <v>13Х11Н2В2МФ-Ш (эи961ш)</v>
      </c>
      <c r="D635" s="13">
        <f ca="1">IFERROR(__xludf.DUMMYFUNCTION("""COMPUTED_VALUE"""),120)</f>
        <v>120</v>
      </c>
      <c r="E635" s="13"/>
      <c r="F635" s="14" t="str">
        <f ca="1">IFERROR(__xludf.DUMMYFUNCTION("""COMPUTED_VALUE"""),"14-1-3297/2590 БЕЗ РТ пл 521734")</f>
        <v>14-1-3297/2590 БЕЗ РТ пл 521734</v>
      </c>
      <c r="G635" s="15">
        <f ca="1">IFERROR(__xludf.DUMMYFUNCTION("""COMPUTED_VALUE"""),1.508)</f>
        <v>1.508</v>
      </c>
      <c r="H635" s="15"/>
      <c r="I635" s="16">
        <f ca="1">IFERROR(__xludf.DUMMYFUNCTION("""COMPUTED_VALUE"""),850000)</f>
        <v>850000</v>
      </c>
    </row>
    <row r="636" spans="2:9" x14ac:dyDescent="0.3">
      <c r="B636" s="12" t="str">
        <f ca="1">IFERROR(__xludf.DUMMYFUNCTION("""COMPUTED_VALUE"""),"круг")</f>
        <v>круг</v>
      </c>
      <c r="C636" s="7" t="str">
        <f ca="1">IFERROR(__xludf.DUMMYFUNCTION("""COMPUTED_VALUE"""),"13Х11Н2В2МФ-Ш (эи961ш)")</f>
        <v>13Х11Н2В2МФ-Ш (эи961ш)</v>
      </c>
      <c r="D636" s="13">
        <f ca="1">IFERROR(__xludf.DUMMYFUNCTION("""COMPUTED_VALUE"""),120)</f>
        <v>120</v>
      </c>
      <c r="E636" s="13"/>
      <c r="F636" s="14" t="str">
        <f ca="1">IFERROR(__xludf.DUMMYFUNCTION("""COMPUTED_VALUE"""),"14-1-3297/2590  РТ, УЗК, об, отж.")</f>
        <v>14-1-3297/2590  РТ, УЗК, об, отж.</v>
      </c>
      <c r="G636" s="15">
        <f ca="1">IFERROR(__xludf.DUMMYFUNCTION("""COMPUTED_VALUE"""),2.093)</f>
        <v>2.093</v>
      </c>
      <c r="H636" s="15"/>
      <c r="I636" s="16">
        <f ca="1">IFERROR(__xludf.DUMMYFUNCTION("""COMPUTED_VALUE"""),1100000)</f>
        <v>1100000</v>
      </c>
    </row>
    <row r="637" spans="2:9" x14ac:dyDescent="0.3">
      <c r="B637" s="12" t="str">
        <f ca="1">IFERROR(__xludf.DUMMYFUNCTION("""COMPUTED_VALUE"""),"круг")</f>
        <v>круг</v>
      </c>
      <c r="C637" s="7" t="str">
        <f ca="1">IFERROR(__xludf.DUMMYFUNCTION("""COMPUTED_VALUE"""),"13Х11Н2В2МФ-Ш (эи961ш)")</f>
        <v>13Х11Н2В2МФ-Ш (эи961ш)</v>
      </c>
      <c r="D637" s="13">
        <f ca="1">IFERROR(__xludf.DUMMYFUNCTION("""COMPUTED_VALUE"""),130)</f>
        <v>130</v>
      </c>
      <c r="E637" s="13"/>
      <c r="F637" s="14" t="str">
        <f ca="1">IFERROR(__xludf.DUMMYFUNCTION("""COMPUTED_VALUE"""),"14-1-3297/2590 БЕЗ РТ пл 521738")</f>
        <v>14-1-3297/2590 БЕЗ РТ пл 521738</v>
      </c>
      <c r="G637" s="15">
        <f ca="1">IFERROR(__xludf.DUMMYFUNCTION("""COMPUTED_VALUE"""),0.523999999999999)</f>
        <v>0.52399999999999902</v>
      </c>
      <c r="H637" s="15"/>
      <c r="I637" s="16">
        <f ca="1">IFERROR(__xludf.DUMMYFUNCTION("""COMPUTED_VALUE"""),850000)</f>
        <v>850000</v>
      </c>
    </row>
    <row r="638" spans="2:9" x14ac:dyDescent="0.3">
      <c r="B638" s="12" t="str">
        <f ca="1">IFERROR(__xludf.DUMMYFUNCTION("""COMPUTED_VALUE"""),"круг")</f>
        <v>круг</v>
      </c>
      <c r="C638" s="7" t="str">
        <f ca="1">IFERROR(__xludf.DUMMYFUNCTION("""COMPUTED_VALUE"""),"13Х11Н2В2МФ-Ш (эи961ш)")</f>
        <v>13Х11Н2В2МФ-Ш (эи961ш)</v>
      </c>
      <c r="D638" s="13">
        <f ca="1">IFERROR(__xludf.DUMMYFUNCTION("""COMPUTED_VALUE"""),130)</f>
        <v>130</v>
      </c>
      <c r="E638" s="13"/>
      <c r="F638" s="14" t="str">
        <f ca="1">IFERROR(__xludf.DUMMYFUNCTION("""COMPUTED_VALUE"""),"14-1-3297/2590  РТ, УЗК, об, отж.")</f>
        <v>14-1-3297/2590  РТ, УЗК, об, отж.</v>
      </c>
      <c r="G638" s="15">
        <f ca="1">IFERROR(__xludf.DUMMYFUNCTION("""COMPUTED_VALUE"""),1.879)</f>
        <v>1.879</v>
      </c>
      <c r="H638" s="15"/>
      <c r="I638" s="16">
        <f ca="1">IFERROR(__xludf.DUMMYFUNCTION("""COMPUTED_VALUE"""),1100000)</f>
        <v>1100000</v>
      </c>
    </row>
    <row r="639" spans="2:9" x14ac:dyDescent="0.3">
      <c r="B639" s="12" t="str">
        <f ca="1">IFERROR(__xludf.DUMMYFUNCTION("""COMPUTED_VALUE"""),"круг")</f>
        <v>круг</v>
      </c>
      <c r="C639" s="7" t="str">
        <f ca="1">IFERROR(__xludf.DUMMYFUNCTION("""COMPUTED_VALUE"""),"13Х11Н2В2МФ-Ш (эи961ш)")</f>
        <v>13Х11Н2В2МФ-Ш (эи961ш)</v>
      </c>
      <c r="D639" s="13">
        <f ca="1">IFERROR(__xludf.DUMMYFUNCTION("""COMPUTED_VALUE"""),140)</f>
        <v>140</v>
      </c>
      <c r="E639" s="13"/>
      <c r="F639" s="14" t="str">
        <f ca="1">IFERROR(__xludf.DUMMYFUNCTION("""COMPUTED_VALUE"""),"14-1-3297/2590, АТП , УЗК")</f>
        <v>14-1-3297/2590, АТП , УЗК</v>
      </c>
      <c r="G639" s="15">
        <f ca="1">IFERROR(__xludf.DUMMYFUNCTION("""COMPUTED_VALUE"""),0.695)</f>
        <v>0.69499999999999995</v>
      </c>
      <c r="H639" s="15"/>
      <c r="I639" s="16">
        <f ca="1">IFERROR(__xludf.DUMMYFUNCTION("""COMPUTED_VALUE"""),1350000)</f>
        <v>1350000</v>
      </c>
    </row>
    <row r="640" spans="2:9" x14ac:dyDescent="0.3">
      <c r="B640" s="12" t="str">
        <f ca="1">IFERROR(__xludf.DUMMYFUNCTION("""COMPUTED_VALUE"""),"круг")</f>
        <v>круг</v>
      </c>
      <c r="C640" s="7" t="str">
        <f ca="1">IFERROR(__xludf.DUMMYFUNCTION("""COMPUTED_VALUE"""),"13Х11Н2В2МФ-Ш (эи961ш)")</f>
        <v>13Х11Н2В2МФ-Ш (эи961ш)</v>
      </c>
      <c r="D640" s="13">
        <f ca="1">IFERROR(__xludf.DUMMYFUNCTION("""COMPUTED_VALUE"""),140)</f>
        <v>140</v>
      </c>
      <c r="E640" s="13"/>
      <c r="F640" s="14" t="str">
        <f ca="1">IFERROR(__xludf.DUMMYFUNCTION("""COMPUTED_VALUE"""),"14-1-3297/2590, АТП , УЗК")</f>
        <v>14-1-3297/2590, АТП , УЗК</v>
      </c>
      <c r="G640" s="15">
        <f ca="1">IFERROR(__xludf.DUMMYFUNCTION("""COMPUTED_VALUE"""),1.405)</f>
        <v>1.405</v>
      </c>
      <c r="H640" s="15"/>
      <c r="I640" s="16">
        <f ca="1">IFERROR(__xludf.DUMMYFUNCTION("""COMPUTED_VALUE"""),1350000)</f>
        <v>1350000</v>
      </c>
    </row>
    <row r="641" spans="2:9" x14ac:dyDescent="0.3">
      <c r="B641" s="12" t="str">
        <f ca="1">IFERROR(__xludf.DUMMYFUNCTION("""COMPUTED_VALUE"""),"круг")</f>
        <v>круг</v>
      </c>
      <c r="C641" s="7" t="str">
        <f ca="1">IFERROR(__xludf.DUMMYFUNCTION("""COMPUTED_VALUE"""),"13Х11Н2В2МФ-Ш (эи961ш)")</f>
        <v>13Х11Н2В2МФ-Ш (эи961ш)</v>
      </c>
      <c r="D641" s="13">
        <f ca="1">IFERROR(__xludf.DUMMYFUNCTION("""COMPUTED_VALUE"""),150)</f>
        <v>150</v>
      </c>
      <c r="E641" s="13"/>
      <c r="F641" s="14" t="str">
        <f ca="1">IFERROR(__xludf.DUMMYFUNCTION("""COMPUTED_VALUE"""),"14-1-3297/2590")</f>
        <v>14-1-3297/2590</v>
      </c>
      <c r="G641" s="15">
        <f ca="1">IFERROR(__xludf.DUMMYFUNCTION("""COMPUTED_VALUE"""),2)</f>
        <v>2</v>
      </c>
      <c r="H641" s="15"/>
      <c r="I641" s="16">
        <f ca="1">IFERROR(__xludf.DUMMYFUNCTION("""COMPUTED_VALUE"""),1100000)</f>
        <v>1100000</v>
      </c>
    </row>
    <row r="642" spans="2:9" x14ac:dyDescent="0.3">
      <c r="B642" s="12" t="str">
        <f ca="1">IFERROR(__xludf.DUMMYFUNCTION("""COMPUTED_VALUE"""),"круг")</f>
        <v>круг</v>
      </c>
      <c r="C642" s="7" t="str">
        <f ca="1">IFERROR(__xludf.DUMMYFUNCTION("""COMPUTED_VALUE"""),"13Х11Н2В2МФ-Ш (эи961ш)")</f>
        <v>13Х11Н2В2МФ-Ш (эи961ш)</v>
      </c>
      <c r="D642" s="13">
        <f ca="1">IFERROR(__xludf.DUMMYFUNCTION("""COMPUTED_VALUE"""),180)</f>
        <v>180</v>
      </c>
      <c r="E642" s="13"/>
      <c r="F642" s="14" t="str">
        <f ca="1">IFERROR(__xludf.DUMMYFUNCTION("""COMPUTED_VALUE"""),"14-1-3297/2590  РТ, УЗК, об, отж.")</f>
        <v>14-1-3297/2590  РТ, УЗК, об, отж.</v>
      </c>
      <c r="G642" s="15">
        <f ca="1">IFERROR(__xludf.DUMMYFUNCTION("""COMPUTED_VALUE"""),2.924)</f>
        <v>2.9239999999999999</v>
      </c>
      <c r="H642" s="15"/>
      <c r="I642" s="16">
        <f ca="1">IFERROR(__xludf.DUMMYFUNCTION("""COMPUTED_VALUE"""),1100000)</f>
        <v>1100000</v>
      </c>
    </row>
    <row r="643" spans="2:9" x14ac:dyDescent="0.3">
      <c r="B643" s="12" t="str">
        <f ca="1">IFERROR(__xludf.DUMMYFUNCTION("""COMPUTED_VALUE"""),"круг")</f>
        <v>круг</v>
      </c>
      <c r="C643" s="7" t="str">
        <f ca="1">IFERROR(__xludf.DUMMYFUNCTION("""COMPUTED_VALUE"""),"13Х11Н2В2МФ-Ш (эи961ш)")</f>
        <v>13Х11Н2В2МФ-Ш (эи961ш)</v>
      </c>
      <c r="D643" s="13">
        <f ca="1">IFERROR(__xludf.DUMMYFUNCTION("""COMPUTED_VALUE"""),200)</f>
        <v>200</v>
      </c>
      <c r="E643" s="13"/>
      <c r="F643" s="14" t="str">
        <f ca="1">IFERROR(__xludf.DUMMYFUNCTION("""COMPUTED_VALUE"""),"14-1-3297/2590  РТ, УЗК")</f>
        <v>14-1-3297/2590  РТ, УЗК</v>
      </c>
      <c r="G643" s="15">
        <f ca="1">IFERROR(__xludf.DUMMYFUNCTION("""COMPUTED_VALUE"""),1.41699999999999)</f>
        <v>1.41699999999999</v>
      </c>
      <c r="H643" s="15"/>
      <c r="I643" s="16">
        <f ca="1">IFERROR(__xludf.DUMMYFUNCTION("""COMPUTED_VALUE"""),1100000)</f>
        <v>1100000</v>
      </c>
    </row>
    <row r="644" spans="2:9" x14ac:dyDescent="0.3">
      <c r="B644" s="12" t="str">
        <f ca="1">IFERROR(__xludf.DUMMYFUNCTION("""COMPUTED_VALUE"""),"Круг ")</f>
        <v xml:space="preserve">Круг </v>
      </c>
      <c r="C644" s="7" t="str">
        <f ca="1">IFERROR(__xludf.DUMMYFUNCTION("""COMPUTED_VALUE"""),"а25Х13Н2п       ЭИ474")</f>
        <v>а25Х13Н2п       ЭИ474</v>
      </c>
      <c r="D644" s="13">
        <f ca="1">IFERROR(__xludf.DUMMYFUNCTION("""COMPUTED_VALUE"""),8)</f>
        <v>8</v>
      </c>
      <c r="E644" s="13"/>
      <c r="F644" s="14" t="str">
        <f ca="1">IFERROR(__xludf.DUMMYFUNCTION("""COMPUTED_VALUE"""),"ту 14-1-721-73, отж, АТП")</f>
        <v>ту 14-1-721-73, отж, АТП</v>
      </c>
      <c r="G644" s="15">
        <f ca="1">IFERROR(__xludf.DUMMYFUNCTION("""COMPUTED_VALUE"""),0.5)</f>
        <v>0.5</v>
      </c>
      <c r="H644" s="15"/>
      <c r="I644" s="16">
        <f ca="1">IFERROR(__xludf.DUMMYFUNCTION("""COMPUTED_VALUE"""),1200000)</f>
        <v>1200000</v>
      </c>
    </row>
    <row r="645" spans="2:9" x14ac:dyDescent="0.3">
      <c r="B645" s="12" t="str">
        <f ca="1">IFERROR(__xludf.DUMMYFUNCTION("""COMPUTED_VALUE"""),"Круг ")</f>
        <v xml:space="preserve">Круг </v>
      </c>
      <c r="C645" s="7" t="str">
        <f ca="1">IFERROR(__xludf.DUMMYFUNCTION("""COMPUTED_VALUE"""),"а25Х13Н2п       ЭИ474")</f>
        <v>а25Х13Н2п       ЭИ474</v>
      </c>
      <c r="D645" s="13">
        <f ca="1">IFERROR(__xludf.DUMMYFUNCTION("""COMPUTED_VALUE"""),10)</f>
        <v>10</v>
      </c>
      <c r="E645" s="13"/>
      <c r="F645" s="14" t="str">
        <f ca="1">IFERROR(__xludf.DUMMYFUNCTION("""COMPUTED_VALUE"""),"ту 14-1-721-73, отж, АТП")</f>
        <v>ту 14-1-721-73, отж, АТП</v>
      </c>
      <c r="G645" s="15">
        <f ca="1">IFERROR(__xludf.DUMMYFUNCTION("""COMPUTED_VALUE"""),0.223)</f>
        <v>0.223</v>
      </c>
      <c r="H645" s="15"/>
      <c r="I645" s="16">
        <f ca="1">IFERROR(__xludf.DUMMYFUNCTION("""COMPUTED_VALUE"""),1050000)</f>
        <v>1050000</v>
      </c>
    </row>
    <row r="646" spans="2:9" x14ac:dyDescent="0.3">
      <c r="B646" s="12" t="str">
        <f ca="1">IFERROR(__xludf.DUMMYFUNCTION("""COMPUTED_VALUE"""),"Круг ")</f>
        <v xml:space="preserve">Круг </v>
      </c>
      <c r="C646" s="7" t="str">
        <f ca="1">IFERROR(__xludf.DUMMYFUNCTION("""COMPUTED_VALUE"""),"а25Х13Н2п       ЭИ474")</f>
        <v>а25Х13Н2п       ЭИ474</v>
      </c>
      <c r="D646" s="13">
        <f ca="1">IFERROR(__xludf.DUMMYFUNCTION("""COMPUTED_VALUE"""),12)</f>
        <v>12</v>
      </c>
      <c r="E646" s="13"/>
      <c r="F646" s="14" t="str">
        <f ca="1">IFERROR(__xludf.DUMMYFUNCTION("""COMPUTED_VALUE"""),"ту 14-1-721-73, отж, АТП")</f>
        <v>ту 14-1-721-73, отж, АТП</v>
      </c>
      <c r="G646" s="15">
        <f ca="1">IFERROR(__xludf.DUMMYFUNCTION("""COMPUTED_VALUE"""),1)</f>
        <v>1</v>
      </c>
      <c r="H646" s="15"/>
      <c r="I646" s="16">
        <f ca="1">IFERROR(__xludf.DUMMYFUNCTION("""COMPUTED_VALUE"""),1100000)</f>
        <v>1100000</v>
      </c>
    </row>
    <row r="647" spans="2:9" x14ac:dyDescent="0.3">
      <c r="B647" s="12" t="str">
        <f ca="1">IFERROR(__xludf.DUMMYFUNCTION("""COMPUTED_VALUE"""),"Круг ")</f>
        <v xml:space="preserve">Круг </v>
      </c>
      <c r="C647" s="7" t="str">
        <f ca="1">IFERROR(__xludf.DUMMYFUNCTION("""COMPUTED_VALUE"""),"а25Х13Н2п       ЭИ474")</f>
        <v>а25Х13Н2п       ЭИ474</v>
      </c>
      <c r="D647" s="13">
        <f ca="1">IFERROR(__xludf.DUMMYFUNCTION("""COMPUTED_VALUE"""),15)</f>
        <v>15</v>
      </c>
      <c r="E647" s="13"/>
      <c r="F647" s="14" t="str">
        <f ca="1">IFERROR(__xludf.DUMMYFUNCTION("""COMPUTED_VALUE"""),"ту 14-1-721-73, отж, АТП")</f>
        <v>ту 14-1-721-73, отж, АТП</v>
      </c>
      <c r="G647" s="15">
        <f ca="1">IFERROR(__xludf.DUMMYFUNCTION("""COMPUTED_VALUE"""),0.096)</f>
        <v>9.6000000000000002E-2</v>
      </c>
      <c r="H647" s="15"/>
      <c r="I647" s="16">
        <f ca="1">IFERROR(__xludf.DUMMYFUNCTION("""COMPUTED_VALUE"""),1000000)</f>
        <v>1000000</v>
      </c>
    </row>
    <row r="648" spans="2:9" x14ac:dyDescent="0.3">
      <c r="B648" s="12" t="str">
        <f ca="1">IFERROR(__xludf.DUMMYFUNCTION("""COMPUTED_VALUE"""),"Круг ")</f>
        <v xml:space="preserve">Круг </v>
      </c>
      <c r="C648" s="7" t="str">
        <f ca="1">IFERROR(__xludf.DUMMYFUNCTION("""COMPUTED_VALUE"""),"а25Х13Н2п       ЭИ474")</f>
        <v>а25Х13Н2п       ЭИ474</v>
      </c>
      <c r="D648" s="13">
        <f ca="1">IFERROR(__xludf.DUMMYFUNCTION("""COMPUTED_VALUE"""),15)</f>
        <v>15</v>
      </c>
      <c r="E648" s="13"/>
      <c r="F648" s="14" t="str">
        <f ca="1">IFERROR(__xludf.DUMMYFUNCTION("""COMPUTED_VALUE"""),"ту 14-1-721-73, отж, АТП")</f>
        <v>ту 14-1-721-73, отж, АТП</v>
      </c>
      <c r="G648" s="15">
        <f ca="1">IFERROR(__xludf.DUMMYFUNCTION("""COMPUTED_VALUE"""),0.288)</f>
        <v>0.28799999999999998</v>
      </c>
      <c r="H648" s="15"/>
      <c r="I648" s="16">
        <f ca="1">IFERROR(__xludf.DUMMYFUNCTION("""COMPUTED_VALUE"""),1000000)</f>
        <v>1000000</v>
      </c>
    </row>
    <row r="649" spans="2:9" x14ac:dyDescent="0.3">
      <c r="B649" s="12" t="str">
        <f ca="1">IFERROR(__xludf.DUMMYFUNCTION("""COMPUTED_VALUE"""),"Круг ")</f>
        <v xml:space="preserve">Круг </v>
      </c>
      <c r="C649" s="7" t="str">
        <f ca="1">IFERROR(__xludf.DUMMYFUNCTION("""COMPUTED_VALUE"""),"а25Х13Н2п       ЭИ474")</f>
        <v>а25Х13Н2п       ЭИ474</v>
      </c>
      <c r="D649" s="13">
        <f ca="1">IFERROR(__xludf.DUMMYFUNCTION("""COMPUTED_VALUE"""),18)</f>
        <v>18</v>
      </c>
      <c r="E649" s="13"/>
      <c r="F649" s="14" t="str">
        <f ca="1">IFERROR(__xludf.DUMMYFUNCTION("""COMPUTED_VALUE"""),"ту 14-1-721-73, отж, АТП")</f>
        <v>ту 14-1-721-73, отж, АТП</v>
      </c>
      <c r="G649" s="15">
        <f ca="1">IFERROR(__xludf.DUMMYFUNCTION("""COMPUTED_VALUE"""),1.5)</f>
        <v>1.5</v>
      </c>
      <c r="H649" s="15"/>
      <c r="I649" s="16">
        <f ca="1">IFERROR(__xludf.DUMMYFUNCTION("""COMPUTED_VALUE"""),1100000)</f>
        <v>1100000</v>
      </c>
    </row>
    <row r="650" spans="2:9" x14ac:dyDescent="0.3">
      <c r="B650" s="12" t="str">
        <f ca="1">IFERROR(__xludf.DUMMYFUNCTION("""COMPUTED_VALUE"""),"Круг ")</f>
        <v xml:space="preserve">Круг </v>
      </c>
      <c r="C650" s="7" t="str">
        <f ca="1">IFERROR(__xludf.DUMMYFUNCTION("""COMPUTED_VALUE"""),"а25Х13Н2п       ЭИ474")</f>
        <v>а25Х13Н2п       ЭИ474</v>
      </c>
      <c r="D650" s="13">
        <f ca="1">IFERROR(__xludf.DUMMYFUNCTION("""COMPUTED_VALUE"""),20)</f>
        <v>20</v>
      </c>
      <c r="E650" s="13"/>
      <c r="F650" s="14" t="str">
        <f ca="1">IFERROR(__xludf.DUMMYFUNCTION("""COMPUTED_VALUE"""),"ту 14-1-721-73, отж, АТП")</f>
        <v>ту 14-1-721-73, отж, АТП</v>
      </c>
      <c r="G650" s="15">
        <f ca="1">IFERROR(__xludf.DUMMYFUNCTION("""COMPUTED_VALUE"""),0.109)</f>
        <v>0.109</v>
      </c>
      <c r="H650" s="15"/>
      <c r="I650" s="16">
        <f ca="1">IFERROR(__xludf.DUMMYFUNCTION("""COMPUTED_VALUE"""),1000000)</f>
        <v>1000000</v>
      </c>
    </row>
    <row r="651" spans="2:9" x14ac:dyDescent="0.3">
      <c r="B651" s="12" t="str">
        <f ca="1">IFERROR(__xludf.DUMMYFUNCTION("""COMPUTED_VALUE"""),"Круг ")</f>
        <v xml:space="preserve">Круг </v>
      </c>
      <c r="C651" s="7" t="str">
        <f ca="1">IFERROR(__xludf.DUMMYFUNCTION("""COMPUTED_VALUE"""),"а25Х13Н2п       ЭИ474")</f>
        <v>а25Х13Н2п       ЭИ474</v>
      </c>
      <c r="D651" s="13">
        <f ca="1">IFERROR(__xludf.DUMMYFUNCTION("""COMPUTED_VALUE"""),20)</f>
        <v>20</v>
      </c>
      <c r="E651" s="13"/>
      <c r="F651" s="14" t="str">
        <f ca="1">IFERROR(__xludf.DUMMYFUNCTION("""COMPUTED_VALUE"""),"ту 14-1-721-73, отж, АТП")</f>
        <v>ту 14-1-721-73, отж, АТП</v>
      </c>
      <c r="G651" s="15">
        <f ca="1">IFERROR(__xludf.DUMMYFUNCTION("""COMPUTED_VALUE"""),0.556)</f>
        <v>0.55600000000000005</v>
      </c>
      <c r="H651" s="15"/>
      <c r="I651" s="16">
        <f ca="1">IFERROR(__xludf.DUMMYFUNCTION("""COMPUTED_VALUE"""),1000000)</f>
        <v>1000000</v>
      </c>
    </row>
    <row r="652" spans="2:9" x14ac:dyDescent="0.3">
      <c r="B652" s="12" t="str">
        <f ca="1">IFERROR(__xludf.DUMMYFUNCTION("""COMPUTED_VALUE"""),"Круг ")</f>
        <v xml:space="preserve">Круг </v>
      </c>
      <c r="C652" s="7" t="str">
        <f ca="1">IFERROR(__xludf.DUMMYFUNCTION("""COMPUTED_VALUE"""),"а25Х13Н2п       ЭИ474")</f>
        <v>а25Х13Н2п       ЭИ474</v>
      </c>
      <c r="D652" s="13">
        <f ca="1">IFERROR(__xludf.DUMMYFUNCTION("""COMPUTED_VALUE"""),22)</f>
        <v>22</v>
      </c>
      <c r="E652" s="13"/>
      <c r="F652" s="14" t="str">
        <f ca="1">IFERROR(__xludf.DUMMYFUNCTION("""COMPUTED_VALUE"""),"ту 14-1-721-73, отж, АТП")</f>
        <v>ту 14-1-721-73, отж, АТП</v>
      </c>
      <c r="G652" s="15">
        <f ca="1">IFERROR(__xludf.DUMMYFUNCTION("""COMPUTED_VALUE"""),1.5)</f>
        <v>1.5</v>
      </c>
      <c r="H652" s="15"/>
      <c r="I652" s="16">
        <f ca="1">IFERROR(__xludf.DUMMYFUNCTION("""COMPUTED_VALUE"""),900000)</f>
        <v>900000</v>
      </c>
    </row>
    <row r="653" spans="2:9" x14ac:dyDescent="0.3">
      <c r="B653" s="12" t="str">
        <f ca="1">IFERROR(__xludf.DUMMYFUNCTION("""COMPUTED_VALUE"""),"Круг ")</f>
        <v xml:space="preserve">Круг </v>
      </c>
      <c r="C653" s="7" t="str">
        <f ca="1">IFERROR(__xludf.DUMMYFUNCTION("""COMPUTED_VALUE"""),"а25Х13Н2п       ЭИ474")</f>
        <v>а25Х13Н2п       ЭИ474</v>
      </c>
      <c r="D653" s="13">
        <f ca="1">IFERROR(__xludf.DUMMYFUNCTION("""COMPUTED_VALUE"""),25)</f>
        <v>25</v>
      </c>
      <c r="E653" s="13"/>
      <c r="F653" s="14" t="str">
        <f ca="1">IFERROR(__xludf.DUMMYFUNCTION("""COMPUTED_VALUE"""),"ту 14-1-721-73, отж, АТП")</f>
        <v>ту 14-1-721-73, отж, АТП</v>
      </c>
      <c r="G653" s="15">
        <f ca="1">IFERROR(__xludf.DUMMYFUNCTION("""COMPUTED_VALUE"""),0.032)</f>
        <v>3.2000000000000001E-2</v>
      </c>
      <c r="H653" s="15"/>
      <c r="I653" s="16">
        <f ca="1">IFERROR(__xludf.DUMMYFUNCTION("""COMPUTED_VALUE"""),1000000)</f>
        <v>1000000</v>
      </c>
    </row>
    <row r="654" spans="2:9" x14ac:dyDescent="0.3">
      <c r="B654" s="12" t="str">
        <f ca="1">IFERROR(__xludf.DUMMYFUNCTION("""COMPUTED_VALUE"""),"Круг ")</f>
        <v xml:space="preserve">Круг </v>
      </c>
      <c r="C654" s="7" t="str">
        <f ca="1">IFERROR(__xludf.DUMMYFUNCTION("""COMPUTED_VALUE"""),"а25Х13Н2п       ЭИ474")</f>
        <v>а25Х13Н2п       ЭИ474</v>
      </c>
      <c r="D654" s="13">
        <f ca="1">IFERROR(__xludf.DUMMYFUNCTION("""COMPUTED_VALUE"""),25)</f>
        <v>25</v>
      </c>
      <c r="E654" s="13"/>
      <c r="F654" s="14" t="str">
        <f ca="1">IFERROR(__xludf.DUMMYFUNCTION("""COMPUTED_VALUE"""),"ту 14-1-721-73, отж, АТП")</f>
        <v>ту 14-1-721-73, отж, АТП</v>
      </c>
      <c r="G654" s="15">
        <f ca="1">IFERROR(__xludf.DUMMYFUNCTION("""COMPUTED_VALUE"""),1.5)</f>
        <v>1.5</v>
      </c>
      <c r="H654" s="15"/>
      <c r="I654" s="16">
        <f ca="1">IFERROR(__xludf.DUMMYFUNCTION("""COMPUTED_VALUE"""),900000)</f>
        <v>900000</v>
      </c>
    </row>
    <row r="655" spans="2:9" x14ac:dyDescent="0.3">
      <c r="B655" s="12" t="str">
        <f ca="1">IFERROR(__xludf.DUMMYFUNCTION("""COMPUTED_VALUE"""),"Круг ")</f>
        <v xml:space="preserve">Круг </v>
      </c>
      <c r="C655" s="7" t="str">
        <f ca="1">IFERROR(__xludf.DUMMYFUNCTION("""COMPUTED_VALUE"""),"а25Х13Н2п       ЭИ474")</f>
        <v>а25Х13Н2п       ЭИ474</v>
      </c>
      <c r="D655" s="13">
        <f ca="1">IFERROR(__xludf.DUMMYFUNCTION("""COMPUTED_VALUE"""),30)</f>
        <v>30</v>
      </c>
      <c r="E655" s="13"/>
      <c r="F655" s="14" t="str">
        <f ca="1">IFERROR(__xludf.DUMMYFUNCTION("""COMPUTED_VALUE"""),"ту 14-1-721-73, отж, АТП")</f>
        <v>ту 14-1-721-73, отж, АТП</v>
      </c>
      <c r="G655" s="15">
        <f ca="1">IFERROR(__xludf.DUMMYFUNCTION("""COMPUTED_VALUE"""),0.802999999999999)</f>
        <v>0.80299999999999905</v>
      </c>
      <c r="H655" s="15"/>
      <c r="I655" s="16">
        <f ca="1">IFERROR(__xludf.DUMMYFUNCTION("""COMPUTED_VALUE"""),1000000)</f>
        <v>1000000</v>
      </c>
    </row>
    <row r="656" spans="2:9" x14ac:dyDescent="0.3">
      <c r="B656" s="12" t="str">
        <f ca="1">IFERROR(__xludf.DUMMYFUNCTION("""COMPUTED_VALUE"""),"Круг ")</f>
        <v xml:space="preserve">Круг </v>
      </c>
      <c r="C656" s="7" t="str">
        <f ca="1">IFERROR(__xludf.DUMMYFUNCTION("""COMPUTED_VALUE"""),"а25Х13Н2п       ЭИ474")</f>
        <v>а25Х13Н2п       ЭИ474</v>
      </c>
      <c r="D656" s="13">
        <f ca="1">IFERROR(__xludf.DUMMYFUNCTION("""COMPUTED_VALUE"""),35)</f>
        <v>35</v>
      </c>
      <c r="E656" s="13"/>
      <c r="F656" s="14" t="str">
        <f ca="1">IFERROR(__xludf.DUMMYFUNCTION("""COMPUTED_VALUE"""),"ту 14-1-721-73, отж, АТП")</f>
        <v>ту 14-1-721-73, отж, АТП</v>
      </c>
      <c r="G656" s="15">
        <f ca="1">IFERROR(__xludf.DUMMYFUNCTION("""COMPUTED_VALUE"""),0.377)</f>
        <v>0.377</v>
      </c>
      <c r="H656" s="15"/>
      <c r="I656" s="16">
        <f ca="1">IFERROR(__xludf.DUMMYFUNCTION("""COMPUTED_VALUE"""),1000000)</f>
        <v>1000000</v>
      </c>
    </row>
    <row r="657" spans="2:9" x14ac:dyDescent="0.3">
      <c r="B657" s="12" t="str">
        <f ca="1">IFERROR(__xludf.DUMMYFUNCTION("""COMPUTED_VALUE"""),"Круг ")</f>
        <v xml:space="preserve">Круг </v>
      </c>
      <c r="C657" s="7" t="str">
        <f ca="1">IFERROR(__xludf.DUMMYFUNCTION("""COMPUTED_VALUE"""),"а25Х13Н2п       ЭИ474")</f>
        <v>а25Х13Н2п       ЭИ474</v>
      </c>
      <c r="D657" s="13">
        <f ca="1">IFERROR(__xludf.DUMMYFUNCTION("""COMPUTED_VALUE"""),35)</f>
        <v>35</v>
      </c>
      <c r="E657" s="13"/>
      <c r="F657" s="14" t="str">
        <f ca="1">IFERROR(__xludf.DUMMYFUNCTION("""COMPUTED_VALUE"""),"ту 14-1-721-73, отж, АТП")</f>
        <v>ту 14-1-721-73, отж, АТП</v>
      </c>
      <c r="G657" s="15">
        <f ca="1">IFERROR(__xludf.DUMMYFUNCTION("""COMPUTED_VALUE"""),1.016)</f>
        <v>1.016</v>
      </c>
      <c r="H657" s="15"/>
      <c r="I657" s="16">
        <f ca="1">IFERROR(__xludf.DUMMYFUNCTION("""COMPUTED_VALUE"""),1000000)</f>
        <v>1000000</v>
      </c>
    </row>
    <row r="658" spans="2:9" x14ac:dyDescent="0.3">
      <c r="B658" s="12" t="str">
        <f ca="1">IFERROR(__xludf.DUMMYFUNCTION("""COMPUTED_VALUE"""),"Круг ")</f>
        <v xml:space="preserve">Круг </v>
      </c>
      <c r="C658" s="7" t="str">
        <f ca="1">IFERROR(__xludf.DUMMYFUNCTION("""COMPUTED_VALUE"""),"а25Х13Н2п       ЭИ474")</f>
        <v>а25Х13Н2п       ЭИ474</v>
      </c>
      <c r="D658" s="13">
        <f ca="1">IFERROR(__xludf.DUMMYFUNCTION("""COMPUTED_VALUE"""),40)</f>
        <v>40</v>
      </c>
      <c r="E658" s="13"/>
      <c r="F658" s="14" t="str">
        <f ca="1">IFERROR(__xludf.DUMMYFUNCTION("""COMPUTED_VALUE"""),"ту 14-1-721-73, отж, АТП")</f>
        <v>ту 14-1-721-73, отж, АТП</v>
      </c>
      <c r="G658" s="15">
        <f ca="1">IFERROR(__xludf.DUMMYFUNCTION("""COMPUTED_VALUE"""),0.398)</f>
        <v>0.39800000000000002</v>
      </c>
      <c r="H658" s="15"/>
      <c r="I658" s="16">
        <f ca="1">IFERROR(__xludf.DUMMYFUNCTION("""COMPUTED_VALUE"""),900000)</f>
        <v>900000</v>
      </c>
    </row>
    <row r="659" spans="2:9" x14ac:dyDescent="0.3">
      <c r="B659" s="12" t="str">
        <f ca="1">IFERROR(__xludf.DUMMYFUNCTION("""COMPUTED_VALUE"""),"Круг ")</f>
        <v xml:space="preserve">Круг </v>
      </c>
      <c r="C659" s="7" t="str">
        <f ca="1">IFERROR(__xludf.DUMMYFUNCTION("""COMPUTED_VALUE"""),"а25Х13Н2п       ЭИ474")</f>
        <v>а25Х13Н2п       ЭИ474</v>
      </c>
      <c r="D659" s="13">
        <f ca="1">IFERROR(__xludf.DUMMYFUNCTION("""COMPUTED_VALUE"""),40)</f>
        <v>40</v>
      </c>
      <c r="E659" s="13"/>
      <c r="F659" s="14" t="str">
        <f ca="1">IFERROR(__xludf.DUMMYFUNCTION("""COMPUTED_VALUE"""),"ту 14-1-721-73, отж, АТП")</f>
        <v>ту 14-1-721-73, отж, АТП</v>
      </c>
      <c r="G659" s="15">
        <f ca="1">IFERROR(__xludf.DUMMYFUNCTION("""COMPUTED_VALUE"""),0.846)</f>
        <v>0.84599999999999997</v>
      </c>
      <c r="H659" s="15"/>
      <c r="I659" s="16">
        <f ca="1">IFERROR(__xludf.DUMMYFUNCTION("""COMPUTED_VALUE"""),900000)</f>
        <v>900000</v>
      </c>
    </row>
    <row r="660" spans="2:9" x14ac:dyDescent="0.3">
      <c r="B660" s="12" t="str">
        <f ca="1">IFERROR(__xludf.DUMMYFUNCTION("""COMPUTED_VALUE"""),"Круг ")</f>
        <v xml:space="preserve">Круг </v>
      </c>
      <c r="C660" s="7" t="str">
        <f ca="1">IFERROR(__xludf.DUMMYFUNCTION("""COMPUTED_VALUE"""),"а25Х13Н2п       ЭИ474")</f>
        <v>а25Х13Н2п       ЭИ474</v>
      </c>
      <c r="D660" s="13">
        <f ca="1">IFERROR(__xludf.DUMMYFUNCTION("""COMPUTED_VALUE"""),45)</f>
        <v>45</v>
      </c>
      <c r="E660" s="13"/>
      <c r="F660" s="14" t="str">
        <f ca="1">IFERROR(__xludf.DUMMYFUNCTION("""COMPUTED_VALUE"""),"ту 14-1-721-73, отж, АТП")</f>
        <v>ту 14-1-721-73, отж, АТП</v>
      </c>
      <c r="G660" s="15">
        <f ca="1">IFERROR(__xludf.DUMMYFUNCTION("""COMPUTED_VALUE"""),1.5)</f>
        <v>1.5</v>
      </c>
      <c r="H660" s="15"/>
      <c r="I660" s="16">
        <f ca="1">IFERROR(__xludf.DUMMYFUNCTION("""COMPUTED_VALUE"""),900000)</f>
        <v>900000</v>
      </c>
    </row>
    <row r="661" spans="2:9" x14ac:dyDescent="0.3">
      <c r="B661" s="12" t="str">
        <f ca="1">IFERROR(__xludf.DUMMYFUNCTION("""COMPUTED_VALUE"""),"Круг ")</f>
        <v xml:space="preserve">Круг </v>
      </c>
      <c r="C661" s="7" t="str">
        <f ca="1">IFERROR(__xludf.DUMMYFUNCTION("""COMPUTED_VALUE"""),"а25Х13Н2п       ЭИ474")</f>
        <v>а25Х13Н2п       ЭИ474</v>
      </c>
      <c r="D661" s="13">
        <f ca="1">IFERROR(__xludf.DUMMYFUNCTION("""COMPUTED_VALUE"""),45)</f>
        <v>45</v>
      </c>
      <c r="E661" s="13"/>
      <c r="F661" s="14" t="str">
        <f ca="1">IFERROR(__xludf.DUMMYFUNCTION("""COMPUTED_VALUE"""),"ту 14-1-721-73, отж, АТП")</f>
        <v>ту 14-1-721-73, отж, АТП</v>
      </c>
      <c r="G661" s="15">
        <f ca="1">IFERROR(__xludf.DUMMYFUNCTION("""COMPUTED_VALUE"""),0.169999999999999)</f>
        <v>0.16999999999999901</v>
      </c>
      <c r="H661" s="15"/>
      <c r="I661" s="16">
        <f ca="1">IFERROR(__xludf.DUMMYFUNCTION("""COMPUTED_VALUE"""),1000000)</f>
        <v>1000000</v>
      </c>
    </row>
    <row r="662" spans="2:9" x14ac:dyDescent="0.3">
      <c r="B662" s="12" t="str">
        <f ca="1">IFERROR(__xludf.DUMMYFUNCTION("""COMPUTED_VALUE"""),"Круг ")</f>
        <v xml:space="preserve">Круг </v>
      </c>
      <c r="C662" s="7" t="str">
        <f ca="1">IFERROR(__xludf.DUMMYFUNCTION("""COMPUTED_VALUE"""),"а25Х13Н2п       ЭИ474")</f>
        <v>а25Х13Н2п       ЭИ474</v>
      </c>
      <c r="D662" s="13">
        <f ca="1">IFERROR(__xludf.DUMMYFUNCTION("""COMPUTED_VALUE"""),50)</f>
        <v>50</v>
      </c>
      <c r="E662" s="13"/>
      <c r="F662" s="14" t="str">
        <f ca="1">IFERROR(__xludf.DUMMYFUNCTION("""COMPUTED_VALUE"""),"ту 14-1-721-73, отж, АТП")</f>
        <v>ту 14-1-721-73, отж, АТП</v>
      </c>
      <c r="G662" s="15">
        <f ca="1">IFERROR(__xludf.DUMMYFUNCTION("""COMPUTED_VALUE"""),0.802999999999999)</f>
        <v>0.80299999999999905</v>
      </c>
      <c r="H662" s="15"/>
      <c r="I662" s="16">
        <f ca="1">IFERROR(__xludf.DUMMYFUNCTION("""COMPUTED_VALUE"""),1000000)</f>
        <v>1000000</v>
      </c>
    </row>
    <row r="663" spans="2:9" x14ac:dyDescent="0.3">
      <c r="B663" s="12" t="str">
        <f ca="1">IFERROR(__xludf.DUMMYFUNCTION("""COMPUTED_VALUE"""),"Круг ")</f>
        <v xml:space="preserve">Круг </v>
      </c>
      <c r="C663" s="7" t="str">
        <f ca="1">IFERROR(__xludf.DUMMYFUNCTION("""COMPUTED_VALUE"""),"а25Х13Н2п       ЭИ474")</f>
        <v>а25Х13Н2п       ЭИ474</v>
      </c>
      <c r="D663" s="13">
        <f ca="1">IFERROR(__xludf.DUMMYFUNCTION("""COMPUTED_VALUE"""),56)</f>
        <v>56</v>
      </c>
      <c r="E663" s="13"/>
      <c r="F663" s="14" t="str">
        <f ca="1">IFERROR(__xludf.DUMMYFUNCTION("""COMPUTED_VALUE"""),"ту 14-1-721-73, отж, АТП")</f>
        <v>ту 14-1-721-73, отж, АТП</v>
      </c>
      <c r="G663" s="15">
        <f ca="1">IFERROR(__xludf.DUMMYFUNCTION("""COMPUTED_VALUE"""),0.173)</f>
        <v>0.17299999999999999</v>
      </c>
      <c r="H663" s="15"/>
      <c r="I663" s="16">
        <f ca="1">IFERROR(__xludf.DUMMYFUNCTION("""COMPUTED_VALUE"""),1000000)</f>
        <v>1000000</v>
      </c>
    </row>
    <row r="664" spans="2:9" x14ac:dyDescent="0.3">
      <c r="B664" s="12" t="str">
        <f ca="1">IFERROR(__xludf.DUMMYFUNCTION("""COMPUTED_VALUE"""),"Круг ")</f>
        <v xml:space="preserve">Круг </v>
      </c>
      <c r="C664" s="7" t="str">
        <f ca="1">IFERROR(__xludf.DUMMYFUNCTION("""COMPUTED_VALUE"""),"а25Х13Н2п       ЭИ474")</f>
        <v>а25Х13Н2п       ЭИ474</v>
      </c>
      <c r="D664" s="13">
        <f ca="1">IFERROR(__xludf.DUMMYFUNCTION("""COMPUTED_VALUE"""),56)</f>
        <v>56</v>
      </c>
      <c r="E664" s="13"/>
      <c r="F664" s="14" t="str">
        <f ca="1">IFERROR(__xludf.DUMMYFUNCTION("""COMPUTED_VALUE"""),"ту 14-1-721-73, отж, АТП")</f>
        <v>ту 14-1-721-73, отж, АТП</v>
      </c>
      <c r="G664" s="15">
        <f ca="1">IFERROR(__xludf.DUMMYFUNCTION("""COMPUTED_VALUE"""),0.46)</f>
        <v>0.46</v>
      </c>
      <c r="H664" s="15"/>
      <c r="I664" s="16">
        <f ca="1">IFERROR(__xludf.DUMMYFUNCTION("""COMPUTED_VALUE"""),1000000)</f>
        <v>1000000</v>
      </c>
    </row>
    <row r="665" spans="2:9" x14ac:dyDescent="0.3">
      <c r="B665" s="12" t="str">
        <f ca="1">IFERROR(__xludf.DUMMYFUNCTION("""COMPUTED_VALUE"""),"Круг ")</f>
        <v xml:space="preserve">Круг </v>
      </c>
      <c r="C665" s="7" t="str">
        <f ca="1">IFERROR(__xludf.DUMMYFUNCTION("""COMPUTED_VALUE"""),"а25Х13Н2п       ЭИ474")</f>
        <v>а25Х13Н2п       ЭИ474</v>
      </c>
      <c r="D665" s="13">
        <f ca="1">IFERROR(__xludf.DUMMYFUNCTION("""COMPUTED_VALUE"""),60)</f>
        <v>60</v>
      </c>
      <c r="E665" s="13"/>
      <c r="F665" s="14" t="str">
        <f ca="1">IFERROR(__xludf.DUMMYFUNCTION("""COMPUTED_VALUE"""),"ту 14-1-721-73, отж, АТП")</f>
        <v>ту 14-1-721-73, отж, АТП</v>
      </c>
      <c r="G665" s="15">
        <f ca="1">IFERROR(__xludf.DUMMYFUNCTION("""COMPUTED_VALUE"""),0.131)</f>
        <v>0.13100000000000001</v>
      </c>
      <c r="H665" s="15"/>
      <c r="I665" s="16">
        <f ca="1">IFERROR(__xludf.DUMMYFUNCTION("""COMPUTED_VALUE"""),1000000)</f>
        <v>1000000</v>
      </c>
    </row>
    <row r="666" spans="2:9" x14ac:dyDescent="0.3">
      <c r="B666" s="12" t="str">
        <f ca="1">IFERROR(__xludf.DUMMYFUNCTION("""COMPUTED_VALUE"""),"Круг ")</f>
        <v xml:space="preserve">Круг </v>
      </c>
      <c r="C666" s="7" t="str">
        <f ca="1">IFERROR(__xludf.DUMMYFUNCTION("""COMPUTED_VALUE"""),"а25Х13Н2п       ЭИ474")</f>
        <v>а25Х13Н2п       ЭИ474</v>
      </c>
      <c r="D666" s="13">
        <f ca="1">IFERROR(__xludf.DUMMYFUNCTION("""COMPUTED_VALUE"""),70)</f>
        <v>70</v>
      </c>
      <c r="E666" s="13"/>
      <c r="F666" s="14" t="str">
        <f ca="1">IFERROR(__xludf.DUMMYFUNCTION("""COMPUTED_VALUE"""),"ту 14-1-721-73, отж, АТП")</f>
        <v>ту 14-1-721-73, отж, АТП</v>
      </c>
      <c r="G666" s="15">
        <f ca="1">IFERROR(__xludf.DUMMYFUNCTION("""COMPUTED_VALUE"""),0.285)</f>
        <v>0.28499999999999998</v>
      </c>
      <c r="H666" s="15"/>
      <c r="I666" s="16">
        <f ca="1">IFERROR(__xludf.DUMMYFUNCTION("""COMPUTED_VALUE"""),1000000)</f>
        <v>1000000</v>
      </c>
    </row>
    <row r="667" spans="2:9" x14ac:dyDescent="0.3">
      <c r="B667" s="12" t="str">
        <f ca="1">IFERROR(__xludf.DUMMYFUNCTION("""COMPUTED_VALUE"""),"Круг ")</f>
        <v xml:space="preserve">Круг </v>
      </c>
      <c r="C667" s="7" t="str">
        <f ca="1">IFERROR(__xludf.DUMMYFUNCTION("""COMPUTED_VALUE"""),"а25Х13Н2п       ЭИ474")</f>
        <v>а25Х13Н2п       ЭИ474</v>
      </c>
      <c r="D667" s="13">
        <f ca="1">IFERROR(__xludf.DUMMYFUNCTION("""COMPUTED_VALUE"""),70)</f>
        <v>70</v>
      </c>
      <c r="E667" s="13"/>
      <c r="F667" s="14" t="str">
        <f ca="1">IFERROR(__xludf.DUMMYFUNCTION("""COMPUTED_VALUE"""),"ту 14-1-721-73, отж, АТП")</f>
        <v>ту 14-1-721-73, отж, АТП</v>
      </c>
      <c r="G667" s="15">
        <f ca="1">IFERROR(__xludf.DUMMYFUNCTION("""COMPUTED_VALUE"""),1.585)</f>
        <v>1.585</v>
      </c>
      <c r="H667" s="15"/>
      <c r="I667" s="16">
        <f ca="1">IFERROR(__xludf.DUMMYFUNCTION("""COMPUTED_VALUE"""),1000000)</f>
        <v>1000000</v>
      </c>
    </row>
    <row r="668" spans="2:9" x14ac:dyDescent="0.3">
      <c r="B668" s="12" t="str">
        <f ca="1">IFERROR(__xludf.DUMMYFUNCTION("""COMPUTED_VALUE"""),"Круг ")</f>
        <v xml:space="preserve">Круг </v>
      </c>
      <c r="C668" s="7" t="str">
        <f ca="1">IFERROR(__xludf.DUMMYFUNCTION("""COMPUTED_VALUE"""),"а25Х13Н2п       ЭИ474")</f>
        <v>а25Х13Н2п       ЭИ474</v>
      </c>
      <c r="D668" s="13">
        <f ca="1">IFERROR(__xludf.DUMMYFUNCTION("""COMPUTED_VALUE"""),80)</f>
        <v>80</v>
      </c>
      <c r="E668" s="13"/>
      <c r="F668" s="14" t="str">
        <f ca="1">IFERROR(__xludf.DUMMYFUNCTION("""COMPUTED_VALUE"""),"ту 14-1-721-73, отж, АТП")</f>
        <v>ту 14-1-721-73, отж, АТП</v>
      </c>
      <c r="G668" s="15">
        <f ca="1">IFERROR(__xludf.DUMMYFUNCTION("""COMPUTED_VALUE"""),0.161)</f>
        <v>0.161</v>
      </c>
      <c r="H668" s="15"/>
      <c r="I668" s="16">
        <f ca="1">IFERROR(__xludf.DUMMYFUNCTION("""COMPUTED_VALUE"""),1100000)</f>
        <v>1100000</v>
      </c>
    </row>
    <row r="669" spans="2:9" x14ac:dyDescent="0.3">
      <c r="B669" s="12" t="str">
        <f ca="1">IFERROR(__xludf.DUMMYFUNCTION("""COMPUTED_VALUE"""),"Круг ")</f>
        <v xml:space="preserve">Круг </v>
      </c>
      <c r="C669" s="7" t="str">
        <f ca="1">IFERROR(__xludf.DUMMYFUNCTION("""COMPUTED_VALUE"""),"а25Х13Н2п       ЭИ474")</f>
        <v>а25Х13Н2п       ЭИ474</v>
      </c>
      <c r="D669" s="13">
        <f ca="1">IFERROR(__xludf.DUMMYFUNCTION("""COMPUTED_VALUE"""),80)</f>
        <v>80</v>
      </c>
      <c r="E669" s="13"/>
      <c r="F669" s="14" t="str">
        <f ca="1">IFERROR(__xludf.DUMMYFUNCTION("""COMPUTED_VALUE"""),"ту 14-1-721-73, отж, АТП")</f>
        <v>ту 14-1-721-73, отж, АТП</v>
      </c>
      <c r="G669" s="15">
        <f ca="1">IFERROR(__xludf.DUMMYFUNCTION("""COMPUTED_VALUE"""),0.399)</f>
        <v>0.39900000000000002</v>
      </c>
      <c r="H669" s="15"/>
      <c r="I669" s="16">
        <f ca="1">IFERROR(__xludf.DUMMYFUNCTION("""COMPUTED_VALUE"""),1100000)</f>
        <v>1100000</v>
      </c>
    </row>
    <row r="670" spans="2:9" x14ac:dyDescent="0.3">
      <c r="B670" s="12" t="str">
        <f ca="1">IFERROR(__xludf.DUMMYFUNCTION("""COMPUTED_VALUE"""),"Круг ")</f>
        <v xml:space="preserve">Круг </v>
      </c>
      <c r="C670" s="7" t="str">
        <f ca="1">IFERROR(__xludf.DUMMYFUNCTION("""COMPUTED_VALUE"""),"а25Х13Н2п       ЭИ474")</f>
        <v>а25Х13Н2п       ЭИ474</v>
      </c>
      <c r="D670" s="13">
        <f ca="1">IFERROR(__xludf.DUMMYFUNCTION("""COMPUTED_VALUE"""),90)</f>
        <v>90</v>
      </c>
      <c r="E670" s="13"/>
      <c r="F670" s="14" t="str">
        <f ca="1">IFERROR(__xludf.DUMMYFUNCTION("""COMPUTED_VALUE"""),"ту 14-1-721-73, отж, АТП ков")</f>
        <v>ту 14-1-721-73, отж, АТП ков</v>
      </c>
      <c r="G670" s="15">
        <f ca="1">IFERROR(__xludf.DUMMYFUNCTION("""COMPUTED_VALUE"""),0.08)</f>
        <v>0.08</v>
      </c>
      <c r="H670" s="15"/>
      <c r="I670" s="16">
        <f ca="1">IFERROR(__xludf.DUMMYFUNCTION("""COMPUTED_VALUE"""),1000000)</f>
        <v>1000000</v>
      </c>
    </row>
    <row r="671" spans="2:9" x14ac:dyDescent="0.3">
      <c r="B671" s="12" t="str">
        <f ca="1">IFERROR(__xludf.DUMMYFUNCTION("""COMPUTED_VALUE"""),"Круг ")</f>
        <v xml:space="preserve">Круг </v>
      </c>
      <c r="C671" s="7" t="str">
        <f ca="1">IFERROR(__xludf.DUMMYFUNCTION("""COMPUTED_VALUE"""),"а25Х13Н2п       ЭИ474")</f>
        <v>а25Х13Н2п       ЭИ474</v>
      </c>
      <c r="D671" s="13">
        <f ca="1">IFERROR(__xludf.DUMMYFUNCTION("""COMPUTED_VALUE"""),90)</f>
        <v>90</v>
      </c>
      <c r="E671" s="13"/>
      <c r="F671" s="14" t="str">
        <f ca="1">IFERROR(__xludf.DUMMYFUNCTION("""COMPUTED_VALUE"""),"ту 14-1-721-73, отж, АТП ков")</f>
        <v>ту 14-1-721-73, отж, АТП ков</v>
      </c>
      <c r="G671" s="15">
        <f ca="1">IFERROR(__xludf.DUMMYFUNCTION("""COMPUTED_VALUE"""),0.55)</f>
        <v>0.55000000000000004</v>
      </c>
      <c r="H671" s="15"/>
      <c r="I671" s="16">
        <f ca="1">IFERROR(__xludf.DUMMYFUNCTION("""COMPUTED_VALUE"""),1000000)</f>
        <v>1000000</v>
      </c>
    </row>
    <row r="672" spans="2:9" x14ac:dyDescent="0.3">
      <c r="B672" s="12" t="str">
        <f ca="1">IFERROR(__xludf.DUMMYFUNCTION("""COMPUTED_VALUE"""),"Круг ")</f>
        <v xml:space="preserve">Круг </v>
      </c>
      <c r="C672" s="7" t="str">
        <f ca="1">IFERROR(__xludf.DUMMYFUNCTION("""COMPUTED_VALUE"""),"а25Х13Н2п       ЭИ474")</f>
        <v>а25Х13Н2п       ЭИ474</v>
      </c>
      <c r="D672" s="13">
        <f ca="1">IFERROR(__xludf.DUMMYFUNCTION("""COMPUTED_VALUE"""),90)</f>
        <v>90</v>
      </c>
      <c r="E672" s="13"/>
      <c r="F672" s="14" t="str">
        <f ca="1">IFERROR(__xludf.DUMMYFUNCTION("""COMPUTED_VALUE"""),"ту 14-1-721-73, отж, АТП ков")</f>
        <v>ту 14-1-721-73, отж, АТП ков</v>
      </c>
      <c r="G672" s="15">
        <f ca="1">IFERROR(__xludf.DUMMYFUNCTION("""COMPUTED_VALUE"""),0.14)</f>
        <v>0.14000000000000001</v>
      </c>
      <c r="H672" s="15"/>
      <c r="I672" s="16">
        <f ca="1">IFERROR(__xludf.DUMMYFUNCTION("""COMPUTED_VALUE"""),1000000)</f>
        <v>1000000</v>
      </c>
    </row>
    <row r="673" spans="2:9" x14ac:dyDescent="0.3">
      <c r="B673" s="12" t="str">
        <f ca="1">IFERROR(__xludf.DUMMYFUNCTION("""COMPUTED_VALUE"""),"Круг ")</f>
        <v xml:space="preserve">Круг </v>
      </c>
      <c r="C673" s="7" t="str">
        <f ca="1">IFERROR(__xludf.DUMMYFUNCTION("""COMPUTED_VALUE"""),"а25Х13Н2п       ЭИ474")</f>
        <v>а25Х13Н2п       ЭИ474</v>
      </c>
      <c r="D673" s="13">
        <f ca="1">IFERROR(__xludf.DUMMYFUNCTION("""COMPUTED_VALUE"""),90)</f>
        <v>90</v>
      </c>
      <c r="E673" s="13"/>
      <c r="F673" s="14" t="str">
        <f ca="1">IFERROR(__xludf.DUMMYFUNCTION("""COMPUTED_VALUE"""),"ту 14-1-721-73, отж, АТП ков")</f>
        <v>ту 14-1-721-73, отж, АТП ков</v>
      </c>
      <c r="G673" s="15">
        <f ca="1">IFERROR(__xludf.DUMMYFUNCTION("""COMPUTED_VALUE"""),0.79)</f>
        <v>0.79</v>
      </c>
      <c r="H673" s="15"/>
      <c r="I673" s="16">
        <f ca="1">IFERROR(__xludf.DUMMYFUNCTION("""COMPUTED_VALUE"""),1000000)</f>
        <v>1000000</v>
      </c>
    </row>
    <row r="674" spans="2:9" x14ac:dyDescent="0.3">
      <c r="B674" s="12" t="str">
        <f ca="1">IFERROR(__xludf.DUMMYFUNCTION("""COMPUTED_VALUE"""),"Круг ")</f>
        <v xml:space="preserve">Круг </v>
      </c>
      <c r="C674" s="7" t="str">
        <f ca="1">IFERROR(__xludf.DUMMYFUNCTION("""COMPUTED_VALUE"""),"а25Х13Н2п       ЭИ474")</f>
        <v>а25Х13Н2п       ЭИ474</v>
      </c>
      <c r="D674" s="13">
        <f ca="1">IFERROR(__xludf.DUMMYFUNCTION("""COMPUTED_VALUE"""),100)</f>
        <v>100</v>
      </c>
      <c r="E674" s="13"/>
      <c r="F674" s="14" t="str">
        <f ca="1">IFERROR(__xludf.DUMMYFUNCTION("""COMPUTED_VALUE"""),"ту 14-1-721-73, отж, АТП")</f>
        <v>ту 14-1-721-73, отж, АТП</v>
      </c>
      <c r="G674" s="15">
        <f ca="1">IFERROR(__xludf.DUMMYFUNCTION("""COMPUTED_VALUE"""),0.072)</f>
        <v>7.1999999999999995E-2</v>
      </c>
      <c r="H674" s="15"/>
      <c r="I674" s="16">
        <f ca="1">IFERROR(__xludf.DUMMYFUNCTION("""COMPUTED_VALUE"""),1000000)</f>
        <v>1000000</v>
      </c>
    </row>
    <row r="675" spans="2:9" x14ac:dyDescent="0.3">
      <c r="B675" s="12" t="str">
        <f ca="1">IFERROR(__xludf.DUMMYFUNCTION("""COMPUTED_VALUE"""),"Круг ")</f>
        <v xml:space="preserve">Круг </v>
      </c>
      <c r="C675" s="7" t="str">
        <f ca="1">IFERROR(__xludf.DUMMYFUNCTION("""COMPUTED_VALUE"""),"а25Х13Н2п       ЭИ474")</f>
        <v>а25Х13Н2п       ЭИ474</v>
      </c>
      <c r="D675" s="13">
        <f ca="1">IFERROR(__xludf.DUMMYFUNCTION("""COMPUTED_VALUE"""),110)</f>
        <v>110</v>
      </c>
      <c r="E675" s="13"/>
      <c r="F675" s="14" t="str">
        <f ca="1">IFERROR(__xludf.DUMMYFUNCTION("""COMPUTED_VALUE"""),"ту 14-1-721-73, отж, АТП")</f>
        <v>ту 14-1-721-73, отж, АТП</v>
      </c>
      <c r="G675" s="15">
        <f ca="1">IFERROR(__xludf.DUMMYFUNCTION("""COMPUTED_VALUE"""),0.496)</f>
        <v>0.496</v>
      </c>
      <c r="H675" s="15"/>
      <c r="I675" s="16">
        <f ca="1">IFERROR(__xludf.DUMMYFUNCTION("""COMPUTED_VALUE"""),1000000)</f>
        <v>1000000</v>
      </c>
    </row>
    <row r="676" spans="2:9" x14ac:dyDescent="0.3">
      <c r="B676" s="12" t="str">
        <f ca="1">IFERROR(__xludf.DUMMYFUNCTION("""COMPUTED_VALUE"""),"Круг ")</f>
        <v xml:space="preserve">Круг </v>
      </c>
      <c r="C676" s="7" t="str">
        <f ca="1">IFERROR(__xludf.DUMMYFUNCTION("""COMPUTED_VALUE"""),"а25Х13Н2п       ЭИ474")</f>
        <v>а25Х13Н2п       ЭИ474</v>
      </c>
      <c r="D676" s="13">
        <f ca="1">IFERROR(__xludf.DUMMYFUNCTION("""COMPUTED_VALUE"""),120)</f>
        <v>120</v>
      </c>
      <c r="E676" s="13"/>
      <c r="F676" s="14" t="str">
        <f ca="1">IFERROR(__xludf.DUMMYFUNCTION("""COMPUTED_VALUE"""),"ту 14-1-721-73, отж, АТП, ков")</f>
        <v>ту 14-1-721-73, отж, АТП, ков</v>
      </c>
      <c r="G676" s="15">
        <f ca="1">IFERROR(__xludf.DUMMYFUNCTION("""COMPUTED_VALUE"""),0.606)</f>
        <v>0.60599999999999998</v>
      </c>
      <c r="H676" s="15"/>
      <c r="I676" s="16">
        <f ca="1">IFERROR(__xludf.DUMMYFUNCTION("""COMPUTED_VALUE"""),1000000)</f>
        <v>1000000</v>
      </c>
    </row>
    <row r="677" spans="2:9" x14ac:dyDescent="0.3">
      <c r="B677" s="12" t="str">
        <f ca="1">IFERROR(__xludf.DUMMYFUNCTION("""COMPUTED_VALUE"""),"Круг ")</f>
        <v xml:space="preserve">Круг </v>
      </c>
      <c r="C677" s="7" t="str">
        <f ca="1">IFERROR(__xludf.DUMMYFUNCTION("""COMPUTED_VALUE"""),"а25Х13Н2п       ЭИ474")</f>
        <v>а25Х13Н2п       ЭИ474</v>
      </c>
      <c r="D677" s="13">
        <f ca="1">IFERROR(__xludf.DUMMYFUNCTION("""COMPUTED_VALUE"""),140)</f>
        <v>140</v>
      </c>
      <c r="E677" s="13"/>
      <c r="F677" s="14" t="str">
        <f ca="1">IFERROR(__xludf.DUMMYFUNCTION("""COMPUTED_VALUE"""),"ту 14-1-721-73, отж, АТП")</f>
        <v>ту 14-1-721-73, отж, АТП</v>
      </c>
      <c r="G677" s="15">
        <f ca="1">IFERROR(__xludf.DUMMYFUNCTION("""COMPUTED_VALUE"""),1.286)</f>
        <v>1.286</v>
      </c>
      <c r="H677" s="15"/>
      <c r="I677" s="16">
        <f ca="1">IFERROR(__xludf.DUMMYFUNCTION("""COMPUTED_VALUE"""),1000000)</f>
        <v>1000000</v>
      </c>
    </row>
    <row r="678" spans="2:9" x14ac:dyDescent="0.3">
      <c r="B678" s="12" t="str">
        <f ca="1">IFERROR(__xludf.DUMMYFUNCTION("""COMPUTED_VALUE"""),"Круг ков.")</f>
        <v>Круг ков.</v>
      </c>
      <c r="C678" s="7" t="str">
        <f ca="1">IFERROR(__xludf.DUMMYFUNCTION("""COMPUTED_VALUE"""),"а25Х13Н2п       ЭИ474")</f>
        <v>а25Х13Н2п       ЭИ474</v>
      </c>
      <c r="D678" s="13">
        <f ca="1">IFERROR(__xludf.DUMMYFUNCTION("""COMPUTED_VALUE"""),145)</f>
        <v>145</v>
      </c>
      <c r="E678" s="13"/>
      <c r="F678" s="14" t="str">
        <f ca="1">IFERROR(__xludf.DUMMYFUNCTION("""COMPUTED_VALUE"""),"ту 14-1-721-73, отж, бе3 РТ")</f>
        <v>ту 14-1-721-73, отж, бе3 РТ</v>
      </c>
      <c r="G678" s="15">
        <f ca="1">IFERROR(__xludf.DUMMYFUNCTION("""COMPUTED_VALUE"""),0.327)</f>
        <v>0.32700000000000001</v>
      </c>
      <c r="H678" s="15"/>
      <c r="I678" s="16">
        <f ca="1">IFERROR(__xludf.DUMMYFUNCTION("""COMPUTED_VALUE"""),1100000)</f>
        <v>1100000</v>
      </c>
    </row>
    <row r="679" spans="2:9" x14ac:dyDescent="0.3">
      <c r="B679" s="12" t="str">
        <f ca="1">IFERROR(__xludf.DUMMYFUNCTION("""COMPUTED_VALUE"""),"Круг ков.")</f>
        <v>Круг ков.</v>
      </c>
      <c r="C679" s="7" t="str">
        <f ca="1">IFERROR(__xludf.DUMMYFUNCTION("""COMPUTED_VALUE"""),"а25Х13Н2п       ЭИ474")</f>
        <v>а25Х13Н2п       ЭИ474</v>
      </c>
      <c r="D679" s="13">
        <f ca="1">IFERROR(__xludf.DUMMYFUNCTION("""COMPUTED_VALUE"""),150)</f>
        <v>150</v>
      </c>
      <c r="E679" s="13"/>
      <c r="F679" s="14" t="str">
        <f ca="1">IFERROR(__xludf.DUMMYFUNCTION("""COMPUTED_VALUE"""),"ту 14-1-721-73, отж, АТП")</f>
        <v>ту 14-1-721-73, отж, АТП</v>
      </c>
      <c r="G679" s="15">
        <f ca="1">IFERROR(__xludf.DUMMYFUNCTION("""COMPUTED_VALUE"""),0.895)</f>
        <v>0.89500000000000002</v>
      </c>
      <c r="H679" s="15"/>
      <c r="I679" s="16">
        <f ca="1">IFERROR(__xludf.DUMMYFUNCTION("""COMPUTED_VALUE"""),1100000)</f>
        <v>1100000</v>
      </c>
    </row>
    <row r="680" spans="2:9" x14ac:dyDescent="0.3">
      <c r="B680" s="12" t="str">
        <f ca="1">IFERROR(__xludf.DUMMYFUNCTION("""COMPUTED_VALUE"""),"Круг ")</f>
        <v xml:space="preserve">Круг </v>
      </c>
      <c r="C680" s="7" t="str">
        <f ca="1">IFERROR(__xludf.DUMMYFUNCTION("""COMPUTED_VALUE"""),"а25Х13Н2п       ЭИ474")</f>
        <v>а25Х13Н2п       ЭИ474</v>
      </c>
      <c r="D680" s="13">
        <f ca="1">IFERROR(__xludf.DUMMYFUNCTION("""COMPUTED_VALUE"""),160)</f>
        <v>160</v>
      </c>
      <c r="E680" s="13"/>
      <c r="F680" s="14" t="str">
        <f ca="1">IFERROR(__xludf.DUMMYFUNCTION("""COMPUTED_VALUE"""),"ту 14-1-721-73, отж, АТП")</f>
        <v>ту 14-1-721-73, отж, АТП</v>
      </c>
      <c r="G680" s="15">
        <f ca="1">IFERROR(__xludf.DUMMYFUNCTION("""COMPUTED_VALUE"""),2.75)</f>
        <v>2.75</v>
      </c>
      <c r="H680" s="15"/>
      <c r="I680" s="16">
        <f ca="1">IFERROR(__xludf.DUMMYFUNCTION("""COMPUTED_VALUE"""),900000)</f>
        <v>900000</v>
      </c>
    </row>
    <row r="681" spans="2:9" x14ac:dyDescent="0.3">
      <c r="B681" s="12" t="str">
        <f ca="1">IFERROR(__xludf.DUMMYFUNCTION("""COMPUTED_VALUE"""),"Круг ков.")</f>
        <v>Круг ков.</v>
      </c>
      <c r="C681" s="7" t="str">
        <f ca="1">IFERROR(__xludf.DUMMYFUNCTION("""COMPUTED_VALUE"""),"а25Х13Н2п       ЭИ474")</f>
        <v>а25Х13Н2п       ЭИ474</v>
      </c>
      <c r="D681" s="13">
        <f ca="1">IFERROR(__xludf.DUMMYFUNCTION("""COMPUTED_VALUE"""),170)</f>
        <v>170</v>
      </c>
      <c r="E681" s="13"/>
      <c r="F681" s="14" t="str">
        <f ca="1">IFERROR(__xludf.DUMMYFUNCTION("""COMPUTED_VALUE"""),"ту 14-1-721-73, отж, АТП ков")</f>
        <v>ту 14-1-721-73, отж, АТП ков</v>
      </c>
      <c r="G681" s="15">
        <f ca="1">IFERROR(__xludf.DUMMYFUNCTION("""COMPUTED_VALUE"""),2.57499999999999)</f>
        <v>2.57499999999999</v>
      </c>
      <c r="H681" s="15"/>
      <c r="I681" s="16">
        <f ca="1">IFERROR(__xludf.DUMMYFUNCTION("""COMPUTED_VALUE"""),1100000)</f>
        <v>1100000</v>
      </c>
    </row>
    <row r="682" spans="2:9" x14ac:dyDescent="0.3">
      <c r="B682" s="12" t="str">
        <f ca="1">IFERROR(__xludf.DUMMYFUNCTION("""COMPUTED_VALUE"""),"Круг ")</f>
        <v xml:space="preserve">Круг </v>
      </c>
      <c r="C682" s="7" t="str">
        <f ca="1">IFERROR(__xludf.DUMMYFUNCTION("""COMPUTED_VALUE"""),"а25Х13Н2п       ЭИ474")</f>
        <v>а25Х13Н2п       ЭИ474</v>
      </c>
      <c r="D682" s="13">
        <f ca="1">IFERROR(__xludf.DUMMYFUNCTION("""COMPUTED_VALUE"""),180)</f>
        <v>180</v>
      </c>
      <c r="E682" s="13"/>
      <c r="F682" s="14" t="str">
        <f ca="1">IFERROR(__xludf.DUMMYFUNCTION("""COMPUTED_VALUE"""),"ту 14-1-721-73, отж, АТП")</f>
        <v>ту 14-1-721-73, отж, АТП</v>
      </c>
      <c r="G682" s="15">
        <f ca="1">IFERROR(__xludf.DUMMYFUNCTION("""COMPUTED_VALUE"""),2.93)</f>
        <v>2.93</v>
      </c>
      <c r="H682" s="15"/>
      <c r="I682" s="16">
        <f ca="1">IFERROR(__xludf.DUMMYFUNCTION("""COMPUTED_VALUE"""),900000)</f>
        <v>900000</v>
      </c>
    </row>
    <row r="683" spans="2:9" x14ac:dyDescent="0.3">
      <c r="B683" s="12" t="str">
        <f ca="1">IFERROR(__xludf.DUMMYFUNCTION("""COMPUTED_VALUE"""),"Круг ков.")</f>
        <v>Круг ков.</v>
      </c>
      <c r="C683" s="7" t="str">
        <f ca="1">IFERROR(__xludf.DUMMYFUNCTION("""COMPUTED_VALUE"""),"а25Х13Н2п       ЭИ474")</f>
        <v>а25Х13Н2п       ЭИ474</v>
      </c>
      <c r="D683" s="13">
        <f ca="1">IFERROR(__xludf.DUMMYFUNCTION("""COMPUTED_VALUE"""),180)</f>
        <v>180</v>
      </c>
      <c r="E683" s="13"/>
      <c r="F683" s="14" t="str">
        <f ca="1">IFERROR(__xludf.DUMMYFUNCTION("""COMPUTED_VALUE"""),"ту 14-1-721-73, отж, АТП")</f>
        <v>ту 14-1-721-73, отж, АТП</v>
      </c>
      <c r="G683" s="15">
        <f ca="1">IFERROR(__xludf.DUMMYFUNCTION("""COMPUTED_VALUE"""),0.343999999999999)</f>
        <v>0.34399999999999897</v>
      </c>
      <c r="H683" s="15"/>
      <c r="I683" s="16">
        <f ca="1">IFERROR(__xludf.DUMMYFUNCTION("""COMPUTED_VALUE"""),1100000)</f>
        <v>1100000</v>
      </c>
    </row>
    <row r="684" spans="2:9" x14ac:dyDescent="0.3">
      <c r="B684" s="12" t="str">
        <f ca="1">IFERROR(__xludf.DUMMYFUNCTION("""COMPUTED_VALUE"""),"Круг ков.")</f>
        <v>Круг ков.</v>
      </c>
      <c r="C684" s="7" t="str">
        <f ca="1">IFERROR(__xludf.DUMMYFUNCTION("""COMPUTED_VALUE"""),"а25Х13Н2п       ЭИ474")</f>
        <v>а25Х13Н2п       ЭИ474</v>
      </c>
      <c r="D684" s="13">
        <f ca="1">IFERROR(__xludf.DUMMYFUNCTION("""COMPUTED_VALUE"""),200)</f>
        <v>200</v>
      </c>
      <c r="E684" s="13"/>
      <c r="F684" s="14" t="str">
        <f ca="1">IFERROR(__xludf.DUMMYFUNCTION("""COMPUTED_VALUE"""),"ту 14-1-721-73, отж, АТП")</f>
        <v>ту 14-1-721-73, отж, АТП</v>
      </c>
      <c r="G684" s="15">
        <f ca="1">IFERROR(__xludf.DUMMYFUNCTION("""COMPUTED_VALUE"""),1.697)</f>
        <v>1.6970000000000001</v>
      </c>
      <c r="H684" s="15"/>
      <c r="I684" s="16">
        <f ca="1">IFERROR(__xludf.DUMMYFUNCTION("""COMPUTED_VALUE"""),1100000)</f>
        <v>1100000</v>
      </c>
    </row>
    <row r="685" spans="2:9" x14ac:dyDescent="0.3">
      <c r="B685" s="12" t="str">
        <f ca="1">IFERROR(__xludf.DUMMYFUNCTION("""COMPUTED_VALUE"""),"Круг ков.")</f>
        <v>Круг ков.</v>
      </c>
      <c r="C685" s="7" t="str">
        <f ca="1">IFERROR(__xludf.DUMMYFUNCTION("""COMPUTED_VALUE"""),"а25Х13Н2п       ЭИ474")</f>
        <v>а25Х13Н2п       ЭИ474</v>
      </c>
      <c r="D685" s="13">
        <f ca="1">IFERROR(__xludf.DUMMYFUNCTION("""COMPUTED_VALUE"""),200)</f>
        <v>200</v>
      </c>
      <c r="E685" s="13"/>
      <c r="F685" s="14" t="str">
        <f ca="1">IFERROR(__xludf.DUMMYFUNCTION("""COMPUTED_VALUE"""),"ту 14-1-721-73, отж, АТП")</f>
        <v>ту 14-1-721-73, отж, АТП</v>
      </c>
      <c r="G685" s="15">
        <f ca="1">IFERROR(__xludf.DUMMYFUNCTION("""COMPUTED_VALUE"""),0.183)</f>
        <v>0.183</v>
      </c>
      <c r="H685" s="15"/>
      <c r="I685" s="16">
        <f ca="1">IFERROR(__xludf.DUMMYFUNCTION("""COMPUTED_VALUE"""),1100000)</f>
        <v>1100000</v>
      </c>
    </row>
    <row r="686" spans="2:9" x14ac:dyDescent="0.3">
      <c r="B686" s="12" t="str">
        <f ca="1">IFERROR(__xludf.DUMMYFUNCTION("""COMPUTED_VALUE"""),"Круг ков.")</f>
        <v>Круг ков.</v>
      </c>
      <c r="C686" s="7" t="str">
        <f ca="1">IFERROR(__xludf.DUMMYFUNCTION("""COMPUTED_VALUE"""),"а25Х13Н2п       ЭИ474")</f>
        <v>а25Х13Н2п       ЭИ474</v>
      </c>
      <c r="D686" s="13">
        <f ca="1">IFERROR(__xludf.DUMMYFUNCTION("""COMPUTED_VALUE"""),220)</f>
        <v>220</v>
      </c>
      <c r="E686" s="13"/>
      <c r="F686" s="14" t="str">
        <f ca="1">IFERROR(__xludf.DUMMYFUNCTION("""COMPUTED_VALUE"""),"ту 14-1-721-73, отж, АТП")</f>
        <v>ту 14-1-721-73, отж, АТП</v>
      </c>
      <c r="G686" s="15">
        <f ca="1">IFERROR(__xludf.DUMMYFUNCTION("""COMPUTED_VALUE"""),2.29399999999999)</f>
        <v>2.2939999999999898</v>
      </c>
      <c r="H686" s="15"/>
      <c r="I686" s="16">
        <f ca="1">IFERROR(__xludf.DUMMYFUNCTION("""COMPUTED_VALUE"""),1100000)</f>
        <v>1100000</v>
      </c>
    </row>
    <row r="687" spans="2:9" x14ac:dyDescent="0.3">
      <c r="B687" s="12" t="str">
        <f ca="1">IFERROR(__xludf.DUMMYFUNCTION("""COMPUTED_VALUE"""),"Круг ков.")</f>
        <v>Круг ков.</v>
      </c>
      <c r="C687" s="7" t="str">
        <f ca="1">IFERROR(__xludf.DUMMYFUNCTION("""COMPUTED_VALUE"""),"а25Х13Н2п       ЭИ474")</f>
        <v>а25Х13Н2п       ЭИ474</v>
      </c>
      <c r="D687" s="13">
        <f ca="1">IFERROR(__xludf.DUMMYFUNCTION("""COMPUTED_VALUE"""),250)</f>
        <v>250</v>
      </c>
      <c r="E687" s="13"/>
      <c r="F687" s="14" t="str">
        <f ca="1">IFERROR(__xludf.DUMMYFUNCTION("""COMPUTED_VALUE"""),"ту 14-1-721-73, отж, АТП")</f>
        <v>ту 14-1-721-73, отж, АТП</v>
      </c>
      <c r="G687" s="15">
        <f ca="1">IFERROR(__xludf.DUMMYFUNCTION("""COMPUTED_VALUE"""),0.173)</f>
        <v>0.17299999999999999</v>
      </c>
      <c r="H687" s="15"/>
      <c r="I687" s="16">
        <f ca="1">IFERROR(__xludf.DUMMYFUNCTION("""COMPUTED_VALUE"""),1100000)</f>
        <v>1100000</v>
      </c>
    </row>
    <row r="688" spans="2:9" x14ac:dyDescent="0.3">
      <c r="B688" s="12" t="str">
        <f ca="1">IFERROR(__xludf.DUMMYFUNCTION("""COMPUTED_VALUE"""),"Круг ков.")</f>
        <v>Круг ков.</v>
      </c>
      <c r="C688" s="7" t="str">
        <f ca="1">IFERROR(__xludf.DUMMYFUNCTION("""COMPUTED_VALUE"""),"а25Х13Н2п       ЭИ474")</f>
        <v>а25Х13Н2п       ЭИ474</v>
      </c>
      <c r="D688" s="13">
        <f ca="1">IFERROR(__xludf.DUMMYFUNCTION("""COMPUTED_VALUE"""),250)</f>
        <v>250</v>
      </c>
      <c r="E688" s="13"/>
      <c r="F688" s="14" t="str">
        <f ca="1">IFERROR(__xludf.DUMMYFUNCTION("""COMPUTED_VALUE"""),"ту 14-1-721-73, отж, АТП")</f>
        <v>ту 14-1-721-73, отж, АТП</v>
      </c>
      <c r="G688" s="15">
        <f ca="1">IFERROR(__xludf.DUMMYFUNCTION("""COMPUTED_VALUE"""),0.778)</f>
        <v>0.77800000000000002</v>
      </c>
      <c r="H688" s="15"/>
      <c r="I688" s="16">
        <f ca="1">IFERROR(__xludf.DUMMYFUNCTION("""COMPUTED_VALUE"""),1100000)</f>
        <v>1100000</v>
      </c>
    </row>
    <row r="689" spans="2:9" x14ac:dyDescent="0.3">
      <c r="B689" s="12" t="str">
        <f ca="1">IFERROR(__xludf.DUMMYFUNCTION("""COMPUTED_VALUE"""),"Круг ков.")</f>
        <v>Круг ков.</v>
      </c>
      <c r="C689" s="7" t="str">
        <f ca="1">IFERROR(__xludf.DUMMYFUNCTION("""COMPUTED_VALUE"""),"а25Х13Н2п       ЭИ474")</f>
        <v>а25Х13Н2п       ЭИ474</v>
      </c>
      <c r="D689" s="13">
        <f ca="1">IFERROR(__xludf.DUMMYFUNCTION("""COMPUTED_VALUE"""),280)</f>
        <v>280</v>
      </c>
      <c r="E689" s="13"/>
      <c r="F689" s="14" t="str">
        <f ca="1">IFERROR(__xludf.DUMMYFUNCTION("""COMPUTED_VALUE"""),"ту 14-1-721-73, отж, АТП")</f>
        <v>ту 14-1-721-73, отж, АТП</v>
      </c>
      <c r="G689" s="15">
        <f ca="1">IFERROR(__xludf.DUMMYFUNCTION("""COMPUTED_VALUE"""),3.865)</f>
        <v>3.8650000000000002</v>
      </c>
      <c r="H689" s="15"/>
      <c r="I689" s="16">
        <f ca="1">IFERROR(__xludf.DUMMYFUNCTION("""COMPUTED_VALUE"""),1100000)</f>
        <v>1100000</v>
      </c>
    </row>
    <row r="690" spans="2:9" x14ac:dyDescent="0.3">
      <c r="B690" s="12" t="str">
        <f ca="1">IFERROR(__xludf.DUMMYFUNCTION("""COMPUTED_VALUE"""),"Круг ков.")</f>
        <v>Круг ков.</v>
      </c>
      <c r="C690" s="7" t="str">
        <f ca="1">IFERROR(__xludf.DUMMYFUNCTION("""COMPUTED_VALUE"""),"а25Х13Н2п       ЭИ474")</f>
        <v>а25Х13Н2п       ЭИ474</v>
      </c>
      <c r="D690" s="13">
        <f ca="1">IFERROR(__xludf.DUMMYFUNCTION("""COMPUTED_VALUE"""),300)</f>
        <v>300</v>
      </c>
      <c r="E690" s="13"/>
      <c r="F690" s="14" t="str">
        <f ca="1">IFERROR(__xludf.DUMMYFUNCTION("""COMPUTED_VALUE"""),"ту 14-1-721-73, отж, АТП")</f>
        <v>ту 14-1-721-73, отж, АТП</v>
      </c>
      <c r="G690" s="15">
        <f ca="1">IFERROR(__xludf.DUMMYFUNCTION("""COMPUTED_VALUE"""),4.171)</f>
        <v>4.1710000000000003</v>
      </c>
      <c r="H690" s="15"/>
      <c r="I690" s="16">
        <f ca="1">IFERROR(__xludf.DUMMYFUNCTION("""COMPUTED_VALUE"""),1100000)</f>
        <v>1100000</v>
      </c>
    </row>
    <row r="691" spans="2:9" x14ac:dyDescent="0.3">
      <c r="B691" s="12" t="str">
        <f ca="1">IFERROR(__xludf.DUMMYFUNCTION("""COMPUTED_VALUE"""),"Круг")</f>
        <v>Круг</v>
      </c>
      <c r="C691" s="7" t="str">
        <f ca="1">IFERROR(__xludf.DUMMYFUNCTION("""COMPUTED_VALUE"""),"25Х17Н2Б-ш, х/т")</f>
        <v>25Х17Н2Б-ш, х/т</v>
      </c>
      <c r="D691" s="13">
        <f ca="1">IFERROR(__xludf.DUMMYFUNCTION("""COMPUTED_VALUE"""),5)</f>
        <v>5</v>
      </c>
      <c r="E691" s="13"/>
      <c r="F691" s="14" t="str">
        <f ca="1">IFERROR(__xludf.DUMMYFUNCTION("""COMPUTED_VALUE"""),"14-1-1062-2021/14955, h9, РТТ")</f>
        <v>14-1-1062-2021/14955, h9, РТТ</v>
      </c>
      <c r="G691" s="15">
        <f ca="1">IFERROR(__xludf.DUMMYFUNCTION("""COMPUTED_VALUE"""),1.2)</f>
        <v>1.2</v>
      </c>
      <c r="H691" s="15"/>
      <c r="I691" s="16">
        <f ca="1">IFERROR(__xludf.DUMMYFUNCTION("""COMPUTED_VALUE"""),3200000)</f>
        <v>3200000</v>
      </c>
    </row>
    <row r="692" spans="2:9" x14ac:dyDescent="0.3">
      <c r="B692" s="12" t="str">
        <f ca="1">IFERROR(__xludf.DUMMYFUNCTION("""COMPUTED_VALUE"""),"Круг")</f>
        <v>Круг</v>
      </c>
      <c r="C692" s="7" t="str">
        <f ca="1">IFERROR(__xludf.DUMMYFUNCTION("""COMPUTED_VALUE"""),"25Х17Н2Б-ш, х/т")</f>
        <v>25Х17Н2Б-ш, х/т</v>
      </c>
      <c r="D692" s="13">
        <f ca="1">IFERROR(__xludf.DUMMYFUNCTION("""COMPUTED_VALUE"""),10)</f>
        <v>10</v>
      </c>
      <c r="E692" s="13"/>
      <c r="F692" s="14" t="str">
        <f ca="1">IFERROR(__xludf.DUMMYFUNCTION("""COMPUTED_VALUE"""),"14-1-1062-2021/14955, h9, РТТ")</f>
        <v>14-1-1062-2021/14955, h9, РТТ</v>
      </c>
      <c r="G692" s="15">
        <f ca="1">IFERROR(__xludf.DUMMYFUNCTION("""COMPUTED_VALUE"""),0.195999999999999)</f>
        <v>0.19599999999999901</v>
      </c>
      <c r="H692" s="15"/>
      <c r="I692" s="16">
        <f ca="1">IFERROR(__xludf.DUMMYFUNCTION("""COMPUTED_VALUE"""),3200000)</f>
        <v>3200000</v>
      </c>
    </row>
    <row r="693" spans="2:9" x14ac:dyDescent="0.3">
      <c r="B693" s="12" t="str">
        <f ca="1">IFERROR(__xludf.DUMMYFUNCTION("""COMPUTED_VALUE"""),"Круг")</f>
        <v>Круг</v>
      </c>
      <c r="C693" s="7" t="str">
        <f ca="1">IFERROR(__xludf.DUMMYFUNCTION("""COMPUTED_VALUE"""),"25Х17Н2Б-ш, х/т")</f>
        <v>25Х17Н2Б-ш, х/т</v>
      </c>
      <c r="D693" s="13">
        <f ca="1">IFERROR(__xludf.DUMMYFUNCTION("""COMPUTED_VALUE"""),12)</f>
        <v>12</v>
      </c>
      <c r="E693" s="13"/>
      <c r="F693" s="14" t="str">
        <f ca="1">IFERROR(__xludf.DUMMYFUNCTION("""COMPUTED_VALUE"""),"14-1-1062-2021/14955, h9, РТТ")</f>
        <v>14-1-1062-2021/14955, h9, РТТ</v>
      </c>
      <c r="G693" s="15">
        <f ca="1">IFERROR(__xludf.DUMMYFUNCTION("""COMPUTED_VALUE"""),0.199999999999999)</f>
        <v>0.19999999999999901</v>
      </c>
      <c r="H693" s="15"/>
      <c r="I693" s="16">
        <f ca="1">IFERROR(__xludf.DUMMYFUNCTION("""COMPUTED_VALUE"""),3200000)</f>
        <v>3200000</v>
      </c>
    </row>
    <row r="694" spans="2:9" x14ac:dyDescent="0.3">
      <c r="B694" s="12" t="str">
        <f ca="1">IFERROR(__xludf.DUMMYFUNCTION("""COMPUTED_VALUE"""),"Круг")</f>
        <v>Круг</v>
      </c>
      <c r="C694" s="7" t="str">
        <f ca="1">IFERROR(__xludf.DUMMYFUNCTION("""COMPUTED_VALUE"""),"25Х17Н2Б-ш, х/т")</f>
        <v>25Х17Н2Б-ш, х/т</v>
      </c>
      <c r="D694" s="13">
        <f ca="1">IFERROR(__xludf.DUMMYFUNCTION("""COMPUTED_VALUE"""),16)</f>
        <v>16</v>
      </c>
      <c r="E694" s="13"/>
      <c r="F694" s="14" t="str">
        <f ca="1">IFERROR(__xludf.DUMMYFUNCTION("""COMPUTED_VALUE"""),"14-1-1062-2021/14955, h9, РТТ")</f>
        <v>14-1-1062-2021/14955, h9, РТТ</v>
      </c>
      <c r="G694" s="15">
        <f ca="1">IFERROR(__xludf.DUMMYFUNCTION("""COMPUTED_VALUE"""),0.21)</f>
        <v>0.21</v>
      </c>
      <c r="H694" s="15"/>
      <c r="I694" s="16">
        <f ca="1">IFERROR(__xludf.DUMMYFUNCTION("""COMPUTED_VALUE"""),3200000)</f>
        <v>3200000</v>
      </c>
    </row>
    <row r="695" spans="2:9" x14ac:dyDescent="0.3">
      <c r="B695" s="12" t="str">
        <f ca="1">IFERROR(__xludf.DUMMYFUNCTION("""COMPUTED_VALUE"""),"Круг")</f>
        <v>Круг</v>
      </c>
      <c r="C695" s="7" t="str">
        <f ca="1">IFERROR(__xludf.DUMMYFUNCTION("""COMPUTED_VALUE"""),"25Х17Н2Б-ш, х/т")</f>
        <v>25Х17Н2Б-ш, х/т</v>
      </c>
      <c r="D695" s="13">
        <f ca="1">IFERROR(__xludf.DUMMYFUNCTION("""COMPUTED_VALUE"""),18)</f>
        <v>18</v>
      </c>
      <c r="E695" s="13"/>
      <c r="F695" s="14" t="str">
        <f ca="1">IFERROR(__xludf.DUMMYFUNCTION("""COMPUTED_VALUE"""),"14-1-1062-2021/14955, h11, РТТ")</f>
        <v>14-1-1062-2021/14955, h11, РТТ</v>
      </c>
      <c r="G695" s="15">
        <f ca="1">IFERROR(__xludf.DUMMYFUNCTION("""COMPUTED_VALUE"""),0.154)</f>
        <v>0.154</v>
      </c>
      <c r="H695" s="15"/>
      <c r="I695" s="16">
        <f ca="1">IFERROR(__xludf.DUMMYFUNCTION("""COMPUTED_VALUE"""),3200000)</f>
        <v>3200000</v>
      </c>
    </row>
    <row r="696" spans="2:9" x14ac:dyDescent="0.3">
      <c r="B696" s="12" t="str">
        <f ca="1">IFERROR(__xludf.DUMMYFUNCTION("""COMPUTED_VALUE"""),"Круг")</f>
        <v>Круг</v>
      </c>
      <c r="C696" s="7" t="str">
        <f ca="1">IFERROR(__xludf.DUMMYFUNCTION("""COMPUTED_VALUE"""),"25Х17Н2Б-ш, х/т")</f>
        <v>25Х17Н2Б-ш, х/т</v>
      </c>
      <c r="D696" s="13">
        <f ca="1">IFERROR(__xludf.DUMMYFUNCTION("""COMPUTED_VALUE"""),18)</f>
        <v>18</v>
      </c>
      <c r="E696" s="13"/>
      <c r="F696" s="14" t="str">
        <f ca="1">IFERROR(__xludf.DUMMYFUNCTION("""COMPUTED_VALUE"""),"14-1-1062-2021/14955, h11, РТТ")</f>
        <v>14-1-1062-2021/14955, h11, РТТ</v>
      </c>
      <c r="G696" s="15">
        <f ca="1">IFERROR(__xludf.DUMMYFUNCTION("""COMPUTED_VALUE"""),0.13)</f>
        <v>0.13</v>
      </c>
      <c r="H696" s="15"/>
      <c r="I696" s="16">
        <f ca="1">IFERROR(__xludf.DUMMYFUNCTION("""COMPUTED_VALUE"""),3200000)</f>
        <v>3200000</v>
      </c>
    </row>
    <row r="697" spans="2:9" x14ac:dyDescent="0.3">
      <c r="B697" s="12" t="str">
        <f ca="1">IFERROR(__xludf.DUMMYFUNCTION("""COMPUTED_VALUE"""),"Круг")</f>
        <v>Круг</v>
      </c>
      <c r="C697" s="7" t="str">
        <f ca="1">IFERROR(__xludf.DUMMYFUNCTION("""COMPUTED_VALUE"""),"25Х17Н2Б-ш, х/т")</f>
        <v>25Х17Н2Б-ш, х/т</v>
      </c>
      <c r="D697" s="13">
        <f ca="1">IFERROR(__xludf.DUMMYFUNCTION("""COMPUTED_VALUE"""),18)</f>
        <v>18</v>
      </c>
      <c r="E697" s="13"/>
      <c r="F697" s="14" t="str">
        <f ca="1">IFERROR(__xludf.DUMMYFUNCTION("""COMPUTED_VALUE"""),"14-1-1062-2021/14955, h11, РТТ")</f>
        <v>14-1-1062-2021/14955, h11, РТТ</v>
      </c>
      <c r="G697" s="15">
        <f ca="1">IFERROR(__xludf.DUMMYFUNCTION("""COMPUTED_VALUE"""),0.33)</f>
        <v>0.33</v>
      </c>
      <c r="H697" s="15"/>
      <c r="I697" s="16">
        <f ca="1">IFERROR(__xludf.DUMMYFUNCTION("""COMPUTED_VALUE"""),3200000)</f>
        <v>3200000</v>
      </c>
    </row>
    <row r="698" spans="2:9" x14ac:dyDescent="0.3">
      <c r="B698" s="12" t="str">
        <f ca="1">IFERROR(__xludf.DUMMYFUNCTION("""COMPUTED_VALUE"""),"Круг")</f>
        <v>Круг</v>
      </c>
      <c r="C698" s="7" t="str">
        <f ca="1">IFERROR(__xludf.DUMMYFUNCTION("""COMPUTED_VALUE"""),"25Х17Н2Б-ш, х/т")</f>
        <v>25Х17Н2Б-ш, х/т</v>
      </c>
      <c r="D698" s="13">
        <f ca="1">IFERROR(__xludf.DUMMYFUNCTION("""COMPUTED_VALUE"""),20)</f>
        <v>20</v>
      </c>
      <c r="E698" s="13"/>
      <c r="F698" s="14" t="str">
        <f ca="1">IFERROR(__xludf.DUMMYFUNCTION("""COMPUTED_VALUE"""),"14-1-1062-2021/14955, h11, РТТ")</f>
        <v>14-1-1062-2021/14955, h11, РТТ</v>
      </c>
      <c r="G698" s="15">
        <f ca="1">IFERROR(__xludf.DUMMYFUNCTION("""COMPUTED_VALUE"""),0.1)</f>
        <v>0.1</v>
      </c>
      <c r="H698" s="15"/>
      <c r="I698" s="16">
        <f ca="1">IFERROR(__xludf.DUMMYFUNCTION("""COMPUTED_VALUE"""),3200000)</f>
        <v>3200000</v>
      </c>
    </row>
    <row r="699" spans="2:9" x14ac:dyDescent="0.3">
      <c r="B699" s="12" t="str">
        <f ca="1">IFERROR(__xludf.DUMMYFUNCTION("""COMPUTED_VALUE"""),"Круг")</f>
        <v>Круг</v>
      </c>
      <c r="C699" s="7" t="str">
        <f ca="1">IFERROR(__xludf.DUMMYFUNCTION("""COMPUTED_VALUE"""),"25Х17Н2Б-ш, х/т")</f>
        <v>25Х17Н2Б-ш, х/т</v>
      </c>
      <c r="D699" s="13">
        <f ca="1">IFERROR(__xludf.DUMMYFUNCTION("""COMPUTED_VALUE"""),20)</f>
        <v>20</v>
      </c>
      <c r="E699" s="13"/>
      <c r="F699" s="14" t="str">
        <f ca="1">IFERROR(__xludf.DUMMYFUNCTION("""COMPUTED_VALUE"""),"14-1-1062-2021/14955, h11, РТТ")</f>
        <v>14-1-1062-2021/14955, h11, РТТ</v>
      </c>
      <c r="G699" s="15">
        <f ca="1">IFERROR(__xludf.DUMMYFUNCTION("""COMPUTED_VALUE"""),0.27)</f>
        <v>0.27</v>
      </c>
      <c r="H699" s="15"/>
      <c r="I699" s="16">
        <f ca="1">IFERROR(__xludf.DUMMYFUNCTION("""COMPUTED_VALUE"""),3200000)</f>
        <v>3200000</v>
      </c>
    </row>
    <row r="700" spans="2:9" x14ac:dyDescent="0.3">
      <c r="B700" s="12" t="str">
        <f ca="1">IFERROR(__xludf.DUMMYFUNCTION("""COMPUTED_VALUE"""),"Круг")</f>
        <v>Круг</v>
      </c>
      <c r="C700" s="7" t="str">
        <f ca="1">IFERROR(__xludf.DUMMYFUNCTION("""COMPUTED_VALUE"""),"25Х17Н2Б-ш")</f>
        <v>25Х17Н2Б-ш</v>
      </c>
      <c r="D700" s="13">
        <f ca="1">IFERROR(__xludf.DUMMYFUNCTION("""COMPUTED_VALUE"""),10)</f>
        <v>10</v>
      </c>
      <c r="E700" s="13"/>
      <c r="F700" s="14" t="str">
        <f ca="1">IFERROR(__xludf.DUMMYFUNCTION("""COMPUTED_VALUE"""),"2590/14-1-1062-2021,3ГП, УЗК ,РТТ")</f>
        <v>2590/14-1-1062-2021,3ГП, УЗК ,РТТ</v>
      </c>
      <c r="G700" s="15">
        <f ca="1">IFERROR(__xludf.DUMMYFUNCTION("""COMPUTED_VALUE"""),0.00699999999999995)</f>
        <v>6.9999999999999498E-3</v>
      </c>
      <c r="H700" s="15"/>
      <c r="I700" s="16">
        <f ca="1">IFERROR(__xludf.DUMMYFUNCTION("""COMPUTED_VALUE"""),2200000)</f>
        <v>2200000</v>
      </c>
    </row>
    <row r="701" spans="2:9" x14ac:dyDescent="0.3">
      <c r="B701" s="12" t="str">
        <f ca="1">IFERROR(__xludf.DUMMYFUNCTION("""COMPUTED_VALUE"""),"Круг")</f>
        <v>Круг</v>
      </c>
      <c r="C701" s="7" t="str">
        <f ca="1">IFERROR(__xludf.DUMMYFUNCTION("""COMPUTED_VALUE"""),"25Х17Н2Б-ш")</f>
        <v>25Х17Н2Б-ш</v>
      </c>
      <c r="D701" s="13">
        <f ca="1">IFERROR(__xludf.DUMMYFUNCTION("""COMPUTED_VALUE"""),10)</f>
        <v>10</v>
      </c>
      <c r="E701" s="13"/>
      <c r="F701" s="14" t="str">
        <f ca="1">IFERROR(__xludf.DUMMYFUNCTION("""COMPUTED_VALUE"""),"2590/14-1-1062-2021,3ГП, УЗК ,РТТ")</f>
        <v>2590/14-1-1062-2021,3ГП, УЗК ,РТТ</v>
      </c>
      <c r="G701" s="15">
        <f ca="1">IFERROR(__xludf.DUMMYFUNCTION("""COMPUTED_VALUE"""),1.2)</f>
        <v>1.2</v>
      </c>
      <c r="H701" s="15"/>
      <c r="I701" s="16">
        <f ca="1">IFERROR(__xludf.DUMMYFUNCTION("""COMPUTED_VALUE"""),2200000)</f>
        <v>2200000</v>
      </c>
    </row>
    <row r="702" spans="2:9" x14ac:dyDescent="0.3">
      <c r="B702" s="12" t="str">
        <f ca="1">IFERROR(__xludf.DUMMYFUNCTION("""COMPUTED_VALUE"""),"Круг")</f>
        <v>Круг</v>
      </c>
      <c r="C702" s="7" t="str">
        <f ca="1">IFERROR(__xludf.DUMMYFUNCTION("""COMPUTED_VALUE"""),"25Х17Н2Б-ш")</f>
        <v>25Х17Н2Б-ш</v>
      </c>
      <c r="D702" s="13">
        <f ca="1">IFERROR(__xludf.DUMMYFUNCTION("""COMPUTED_VALUE"""),12)</f>
        <v>12</v>
      </c>
      <c r="E702" s="13"/>
      <c r="F702" s="14" t="str">
        <f ca="1">IFERROR(__xludf.DUMMYFUNCTION("""COMPUTED_VALUE"""),"2590/14-1-1062-2021,3ГП, УЗК ,РТТ")</f>
        <v>2590/14-1-1062-2021,3ГП, УЗК ,РТТ</v>
      </c>
      <c r="G702" s="15">
        <f ca="1">IFERROR(__xludf.DUMMYFUNCTION("""COMPUTED_VALUE"""),1.039)</f>
        <v>1.0389999999999999</v>
      </c>
      <c r="H702" s="15"/>
      <c r="I702" s="16">
        <f ca="1">IFERROR(__xludf.DUMMYFUNCTION("""COMPUTED_VALUE"""),2200000)</f>
        <v>2200000</v>
      </c>
    </row>
    <row r="703" spans="2:9" x14ac:dyDescent="0.3">
      <c r="B703" s="12" t="str">
        <f ca="1">IFERROR(__xludf.DUMMYFUNCTION("""COMPUTED_VALUE"""),"Круг")</f>
        <v>Круг</v>
      </c>
      <c r="C703" s="7" t="str">
        <f ca="1">IFERROR(__xludf.DUMMYFUNCTION("""COMPUTED_VALUE"""),"25Х17Н2Б-ш")</f>
        <v>25Х17Н2Б-ш</v>
      </c>
      <c r="D703" s="13">
        <f ca="1">IFERROR(__xludf.DUMMYFUNCTION("""COMPUTED_VALUE"""),14)</f>
        <v>14</v>
      </c>
      <c r="E703" s="13"/>
      <c r="F703" s="14" t="str">
        <f ca="1">IFERROR(__xludf.DUMMYFUNCTION("""COMPUTED_VALUE"""),"2590/14-1-1062-2021,3ГП, УЗК ,РТТ")</f>
        <v>2590/14-1-1062-2021,3ГП, УЗК ,РТТ</v>
      </c>
      <c r="G703" s="15">
        <f ca="1">IFERROR(__xludf.DUMMYFUNCTION("""COMPUTED_VALUE"""),0.251999999999999)</f>
        <v>0.251999999999999</v>
      </c>
      <c r="H703" s="15"/>
      <c r="I703" s="16">
        <f ca="1">IFERROR(__xludf.DUMMYFUNCTION("""COMPUTED_VALUE"""),2200000)</f>
        <v>2200000</v>
      </c>
    </row>
    <row r="704" spans="2:9" x14ac:dyDescent="0.3">
      <c r="B704" s="12" t="str">
        <f ca="1">IFERROR(__xludf.DUMMYFUNCTION("""COMPUTED_VALUE"""),"Круг")</f>
        <v>Круг</v>
      </c>
      <c r="C704" s="7" t="str">
        <f ca="1">IFERROR(__xludf.DUMMYFUNCTION("""COMPUTED_VALUE"""),"25Х17Н2Б-ш")</f>
        <v>25Х17Н2Б-ш</v>
      </c>
      <c r="D704" s="13">
        <f ca="1">IFERROR(__xludf.DUMMYFUNCTION("""COMPUTED_VALUE"""),14)</f>
        <v>14</v>
      </c>
      <c r="E704" s="13"/>
      <c r="F704" s="14" t="str">
        <f ca="1">IFERROR(__xludf.DUMMYFUNCTION("""COMPUTED_VALUE"""),"2590/14-1-1062-2021,3ГП, УЗК ,РТТ")</f>
        <v>2590/14-1-1062-2021,3ГП, УЗК ,РТТ</v>
      </c>
      <c r="G704" s="15">
        <f ca="1">IFERROR(__xludf.DUMMYFUNCTION("""COMPUTED_VALUE"""),2)</f>
        <v>2</v>
      </c>
      <c r="H704" s="15"/>
      <c r="I704" s="16">
        <f ca="1">IFERROR(__xludf.DUMMYFUNCTION("""COMPUTED_VALUE"""),1700000)</f>
        <v>1700000</v>
      </c>
    </row>
    <row r="705" spans="2:9" x14ac:dyDescent="0.3">
      <c r="B705" s="12" t="str">
        <f ca="1">IFERROR(__xludf.DUMMYFUNCTION("""COMPUTED_VALUE"""),"Круг")</f>
        <v>Круг</v>
      </c>
      <c r="C705" s="7" t="str">
        <f ca="1">IFERROR(__xludf.DUMMYFUNCTION("""COMPUTED_VALUE"""),"25Х17Н2Б-ш")</f>
        <v>25Х17Н2Б-ш</v>
      </c>
      <c r="D705" s="13">
        <f ca="1">IFERROR(__xludf.DUMMYFUNCTION("""COMPUTED_VALUE"""),16)</f>
        <v>16</v>
      </c>
      <c r="E705" s="13"/>
      <c r="F705" s="14" t="str">
        <f ca="1">IFERROR(__xludf.DUMMYFUNCTION("""COMPUTED_VALUE"""),"2590/14-1-1062-2021,3ГП, УЗК ,РТТ")</f>
        <v>2590/14-1-1062-2021,3ГП, УЗК ,РТТ</v>
      </c>
      <c r="G705" s="15">
        <f ca="1">IFERROR(__xludf.DUMMYFUNCTION("""COMPUTED_VALUE"""),0.668)</f>
        <v>0.66800000000000004</v>
      </c>
      <c r="H705" s="15"/>
      <c r="I705" s="16">
        <f ca="1">IFERROR(__xludf.DUMMYFUNCTION("""COMPUTED_VALUE"""),1700000)</f>
        <v>1700000</v>
      </c>
    </row>
    <row r="706" spans="2:9" x14ac:dyDescent="0.3">
      <c r="B706" s="12" t="str">
        <f ca="1">IFERROR(__xludf.DUMMYFUNCTION("""COMPUTED_VALUE"""),"Круг")</f>
        <v>Круг</v>
      </c>
      <c r="C706" s="7" t="str">
        <f ca="1">IFERROR(__xludf.DUMMYFUNCTION("""COMPUTED_VALUE"""),"25Х17Н2Б-ш")</f>
        <v>25Х17Н2Б-ш</v>
      </c>
      <c r="D706" s="13">
        <f ca="1">IFERROR(__xludf.DUMMYFUNCTION("""COMPUTED_VALUE"""),18)</f>
        <v>18</v>
      </c>
      <c r="E706" s="13"/>
      <c r="F706" s="14" t="str">
        <f ca="1">IFERROR(__xludf.DUMMYFUNCTION("""COMPUTED_VALUE"""),"2590/14-1-1062-2021,3ГП, УЗК ,РТТ")</f>
        <v>2590/14-1-1062-2021,3ГП, УЗК ,РТТ</v>
      </c>
      <c r="G706" s="15">
        <f ca="1">IFERROR(__xludf.DUMMYFUNCTION("""COMPUTED_VALUE"""),0.839)</f>
        <v>0.83899999999999997</v>
      </c>
      <c r="H706" s="15"/>
      <c r="I706" s="16">
        <f ca="1">IFERROR(__xludf.DUMMYFUNCTION("""COMPUTED_VALUE"""),1700000)</f>
        <v>1700000</v>
      </c>
    </row>
    <row r="707" spans="2:9" x14ac:dyDescent="0.3">
      <c r="B707" s="12" t="str">
        <f ca="1">IFERROR(__xludf.DUMMYFUNCTION("""COMPUTED_VALUE"""),"Круг")</f>
        <v>Круг</v>
      </c>
      <c r="C707" s="7" t="str">
        <f ca="1">IFERROR(__xludf.DUMMYFUNCTION("""COMPUTED_VALUE"""),"25Х17Н2Б-ш")</f>
        <v>25Х17Н2Б-ш</v>
      </c>
      <c r="D707" s="13">
        <f ca="1">IFERROR(__xludf.DUMMYFUNCTION("""COMPUTED_VALUE"""),20)</f>
        <v>20</v>
      </c>
      <c r="E707" s="13"/>
      <c r="F707" s="14" t="str">
        <f ca="1">IFERROR(__xludf.DUMMYFUNCTION("""COMPUTED_VALUE"""),"2590/14-1-1062-2021,3ГП, УЗК ,РТТ")</f>
        <v>2590/14-1-1062-2021,3ГП, УЗК ,РТТ</v>
      </c>
      <c r="G707" s="15">
        <f ca="1">IFERROR(__xludf.DUMMYFUNCTION("""COMPUTED_VALUE"""),0.968999999999999)</f>
        <v>0.96899999999999897</v>
      </c>
      <c r="H707" s="15"/>
      <c r="I707" s="16">
        <f ca="1">IFERROR(__xludf.DUMMYFUNCTION("""COMPUTED_VALUE"""),1700000)</f>
        <v>1700000</v>
      </c>
    </row>
    <row r="708" spans="2:9" x14ac:dyDescent="0.3">
      <c r="B708" s="12" t="str">
        <f ca="1">IFERROR(__xludf.DUMMYFUNCTION("""COMPUTED_VALUE"""),"Круг")</f>
        <v>Круг</v>
      </c>
      <c r="C708" s="7" t="str">
        <f ca="1">IFERROR(__xludf.DUMMYFUNCTION("""COMPUTED_VALUE"""),"25Х17Н2Б-ш")</f>
        <v>25Х17Н2Б-ш</v>
      </c>
      <c r="D708" s="13">
        <f ca="1">IFERROR(__xludf.DUMMYFUNCTION("""COMPUTED_VALUE"""),20)</f>
        <v>20</v>
      </c>
      <c r="E708" s="13"/>
      <c r="F708" s="14" t="str">
        <f ca="1">IFERROR(__xludf.DUMMYFUNCTION("""COMPUTED_VALUE"""),"2590/14-1-1062-2021,3ГП, УЗК ,РТТ")</f>
        <v>2590/14-1-1062-2021,3ГП, УЗК ,РТТ</v>
      </c>
      <c r="G708" s="15">
        <f ca="1">IFERROR(__xludf.DUMMYFUNCTION("""COMPUTED_VALUE"""),0.63)</f>
        <v>0.63</v>
      </c>
      <c r="H708" s="15"/>
      <c r="I708" s="16">
        <f ca="1">IFERROR(__xludf.DUMMYFUNCTION("""COMPUTED_VALUE"""),1700000)</f>
        <v>1700000</v>
      </c>
    </row>
    <row r="709" spans="2:9" x14ac:dyDescent="0.3">
      <c r="B709" s="12" t="str">
        <f ca="1">IFERROR(__xludf.DUMMYFUNCTION("""COMPUTED_VALUE"""),"Круг")</f>
        <v>Круг</v>
      </c>
      <c r="C709" s="7" t="str">
        <f ca="1">IFERROR(__xludf.DUMMYFUNCTION("""COMPUTED_VALUE"""),"25Х17Н2Б-ш")</f>
        <v>25Х17Н2Б-ш</v>
      </c>
      <c r="D709" s="13">
        <f ca="1">IFERROR(__xludf.DUMMYFUNCTION("""COMPUTED_VALUE"""),25)</f>
        <v>25</v>
      </c>
      <c r="E709" s="13"/>
      <c r="F709" s="14" t="str">
        <f ca="1">IFERROR(__xludf.DUMMYFUNCTION("""COMPUTED_VALUE"""),"2590/14-1-1062-2021,2ГП, УЗК ,РТТ")</f>
        <v>2590/14-1-1062-2021,2ГП, УЗК ,РТТ</v>
      </c>
      <c r="G709" s="15">
        <f ca="1">IFERROR(__xludf.DUMMYFUNCTION("""COMPUTED_VALUE"""),0.695)</f>
        <v>0.69499999999999995</v>
      </c>
      <c r="H709" s="15"/>
      <c r="I709" s="16">
        <f ca="1">IFERROR(__xludf.DUMMYFUNCTION("""COMPUTED_VALUE"""),1700000)</f>
        <v>1700000</v>
      </c>
    </row>
    <row r="710" spans="2:9" x14ac:dyDescent="0.3">
      <c r="B710" s="12" t="str">
        <f ca="1">IFERROR(__xludf.DUMMYFUNCTION("""COMPUTED_VALUE"""),"Круг")</f>
        <v>Круг</v>
      </c>
      <c r="C710" s="7" t="str">
        <f ca="1">IFERROR(__xludf.DUMMYFUNCTION("""COMPUTED_VALUE"""),"25Х17Н2Б-ш")</f>
        <v>25Х17Н2Б-ш</v>
      </c>
      <c r="D710" s="13">
        <f ca="1">IFERROR(__xludf.DUMMYFUNCTION("""COMPUTED_VALUE"""),28)</f>
        <v>28</v>
      </c>
      <c r="E710" s="13"/>
      <c r="F710" s="14" t="str">
        <f ca="1">IFERROR(__xludf.DUMMYFUNCTION("""COMPUTED_VALUE"""),"2590/14-1-1062-2021,2ГП, УЗК ,РТТ")</f>
        <v>2590/14-1-1062-2021,2ГП, УЗК ,РТТ</v>
      </c>
      <c r="G710" s="15">
        <f ca="1">IFERROR(__xludf.DUMMYFUNCTION("""COMPUTED_VALUE"""),0.32)</f>
        <v>0.32</v>
      </c>
      <c r="H710" s="15"/>
      <c r="I710" s="16">
        <f ca="1">IFERROR(__xludf.DUMMYFUNCTION("""COMPUTED_VALUE"""),1700000)</f>
        <v>1700000</v>
      </c>
    </row>
    <row r="711" spans="2:9" x14ac:dyDescent="0.3">
      <c r="B711" s="12" t="str">
        <f ca="1">IFERROR(__xludf.DUMMYFUNCTION("""COMPUTED_VALUE"""),"Круг")</f>
        <v>Круг</v>
      </c>
      <c r="C711" s="7" t="str">
        <f ca="1">IFERROR(__xludf.DUMMYFUNCTION("""COMPUTED_VALUE"""),"25Х17Н2Б-ш")</f>
        <v>25Х17Н2Б-ш</v>
      </c>
      <c r="D711" s="13">
        <f ca="1">IFERROR(__xludf.DUMMYFUNCTION("""COMPUTED_VALUE"""),28)</f>
        <v>28</v>
      </c>
      <c r="E711" s="13"/>
      <c r="F711" s="14" t="str">
        <f ca="1">IFERROR(__xludf.DUMMYFUNCTION("""COMPUTED_VALUE"""),"2590/14-1-1062-2021,2ГП, УЗК ,РТТ")</f>
        <v>2590/14-1-1062-2021,2ГП, УЗК ,РТТ</v>
      </c>
      <c r="G711" s="15">
        <f ca="1">IFERROR(__xludf.DUMMYFUNCTION("""COMPUTED_VALUE"""),0.134)</f>
        <v>0.13400000000000001</v>
      </c>
      <c r="H711" s="15"/>
      <c r="I711" s="16">
        <f ca="1">IFERROR(__xludf.DUMMYFUNCTION("""COMPUTED_VALUE"""),1700000)</f>
        <v>1700000</v>
      </c>
    </row>
    <row r="712" spans="2:9" x14ac:dyDescent="0.3">
      <c r="B712" s="12" t="str">
        <f ca="1">IFERROR(__xludf.DUMMYFUNCTION("""COMPUTED_VALUE"""),"Круг")</f>
        <v>Круг</v>
      </c>
      <c r="C712" s="7" t="str">
        <f ca="1">IFERROR(__xludf.DUMMYFUNCTION("""COMPUTED_VALUE"""),"25Х17Н2Б-ш")</f>
        <v>25Х17Н2Б-ш</v>
      </c>
      <c r="D712" s="13">
        <f ca="1">IFERROR(__xludf.DUMMYFUNCTION("""COMPUTED_VALUE"""),28)</f>
        <v>28</v>
      </c>
      <c r="E712" s="13"/>
      <c r="F712" s="14" t="str">
        <f ca="1">IFERROR(__xludf.DUMMYFUNCTION("""COMPUTED_VALUE"""),"2590/14-1-1062-2021,2ГП, УЗК ,РТТ")</f>
        <v>2590/14-1-1062-2021,2ГП, УЗК ,РТТ</v>
      </c>
      <c r="G712" s="15">
        <f ca="1">IFERROR(__xludf.DUMMYFUNCTION("""COMPUTED_VALUE"""),1.22)</f>
        <v>1.22</v>
      </c>
      <c r="H712" s="15"/>
      <c r="I712" s="16">
        <f ca="1">IFERROR(__xludf.DUMMYFUNCTION("""COMPUTED_VALUE"""),1700000)</f>
        <v>1700000</v>
      </c>
    </row>
    <row r="713" spans="2:9" x14ac:dyDescent="0.3">
      <c r="B713" s="12" t="str">
        <f ca="1">IFERROR(__xludf.DUMMYFUNCTION("""COMPUTED_VALUE"""),"Круг")</f>
        <v>Круг</v>
      </c>
      <c r="C713" s="7" t="str">
        <f ca="1">IFERROR(__xludf.DUMMYFUNCTION("""COMPUTED_VALUE"""),"25Х17Н2Б-ш")</f>
        <v>25Х17Н2Б-ш</v>
      </c>
      <c r="D713" s="13">
        <f ca="1">IFERROR(__xludf.DUMMYFUNCTION("""COMPUTED_VALUE"""),30)</f>
        <v>30</v>
      </c>
      <c r="E713" s="13"/>
      <c r="F713" s="14" t="str">
        <f ca="1">IFERROR(__xludf.DUMMYFUNCTION("""COMPUTED_VALUE"""),"2590/14-1-1062-2021,2ГП, УЗК ,РТТ")</f>
        <v>2590/14-1-1062-2021,2ГП, УЗК ,РТТ</v>
      </c>
      <c r="G713" s="15">
        <f ca="1">IFERROR(__xludf.DUMMYFUNCTION("""COMPUTED_VALUE"""),0.744)</f>
        <v>0.74399999999999999</v>
      </c>
      <c r="H713" s="15"/>
      <c r="I713" s="16">
        <f ca="1">IFERROR(__xludf.DUMMYFUNCTION("""COMPUTED_VALUE"""),1700000)</f>
        <v>1700000</v>
      </c>
    </row>
    <row r="714" spans="2:9" x14ac:dyDescent="0.3">
      <c r="B714" s="12" t="str">
        <f ca="1">IFERROR(__xludf.DUMMYFUNCTION("""COMPUTED_VALUE"""),"Круг")</f>
        <v>Круг</v>
      </c>
      <c r="C714" s="7" t="str">
        <f ca="1">IFERROR(__xludf.DUMMYFUNCTION("""COMPUTED_VALUE"""),"25Х17Н2Б-ш")</f>
        <v>25Х17Н2Б-ш</v>
      </c>
      <c r="D714" s="13">
        <f ca="1">IFERROR(__xludf.DUMMYFUNCTION("""COMPUTED_VALUE"""),30)</f>
        <v>30</v>
      </c>
      <c r="E714" s="13"/>
      <c r="F714" s="14" t="str">
        <f ca="1">IFERROR(__xludf.DUMMYFUNCTION("""COMPUTED_VALUE"""),"2590/14-1-1062-2021,2ГП, УЗК ,РТТ")</f>
        <v>2590/14-1-1062-2021,2ГП, УЗК ,РТТ</v>
      </c>
      <c r="G714" s="15">
        <f ca="1">IFERROR(__xludf.DUMMYFUNCTION("""COMPUTED_VALUE"""),1.3)</f>
        <v>1.3</v>
      </c>
      <c r="H714" s="15"/>
      <c r="I714" s="16">
        <f ca="1">IFERROR(__xludf.DUMMYFUNCTION("""COMPUTED_VALUE"""),1700000)</f>
        <v>1700000</v>
      </c>
    </row>
    <row r="715" spans="2:9" x14ac:dyDescent="0.3">
      <c r="B715" s="12" t="str">
        <f ca="1">IFERROR(__xludf.DUMMYFUNCTION("""COMPUTED_VALUE"""),"Круг")</f>
        <v>Круг</v>
      </c>
      <c r="C715" s="7" t="str">
        <f ca="1">IFERROR(__xludf.DUMMYFUNCTION("""COMPUTED_VALUE"""),"25Х17Н2Б-ш")</f>
        <v>25Х17Н2Б-ш</v>
      </c>
      <c r="D715" s="13">
        <f ca="1">IFERROR(__xludf.DUMMYFUNCTION("""COMPUTED_VALUE"""),32)</f>
        <v>32</v>
      </c>
      <c r="E715" s="13"/>
      <c r="F715" s="14" t="str">
        <f ca="1">IFERROR(__xludf.DUMMYFUNCTION("""COMPUTED_VALUE"""),"2590/14-1-1062-2021,2ГП, УЗК ,РТТ")</f>
        <v>2590/14-1-1062-2021,2ГП, УЗК ,РТТ</v>
      </c>
      <c r="G715" s="15">
        <f ca="1">IFERROR(__xludf.DUMMYFUNCTION("""COMPUTED_VALUE"""),0.214)</f>
        <v>0.214</v>
      </c>
      <c r="H715" s="15"/>
      <c r="I715" s="16">
        <f ca="1">IFERROR(__xludf.DUMMYFUNCTION("""COMPUTED_VALUE"""),1700000)</f>
        <v>1700000</v>
      </c>
    </row>
    <row r="716" spans="2:9" x14ac:dyDescent="0.3">
      <c r="B716" s="12" t="str">
        <f ca="1">IFERROR(__xludf.DUMMYFUNCTION("""COMPUTED_VALUE"""),"Круг")</f>
        <v>Круг</v>
      </c>
      <c r="C716" s="7" t="str">
        <f ca="1">IFERROR(__xludf.DUMMYFUNCTION("""COMPUTED_VALUE"""),"25Х17Н2Б-ш")</f>
        <v>25Х17Н2Б-ш</v>
      </c>
      <c r="D716" s="13">
        <f ca="1">IFERROR(__xludf.DUMMYFUNCTION("""COMPUTED_VALUE"""),32)</f>
        <v>32</v>
      </c>
      <c r="E716" s="13"/>
      <c r="F716" s="14" t="str">
        <f ca="1">IFERROR(__xludf.DUMMYFUNCTION("""COMPUTED_VALUE"""),"2590/14-1-1062-2021,2ГП, УЗК ,РТТ")</f>
        <v>2590/14-1-1062-2021,2ГП, УЗК ,РТТ</v>
      </c>
      <c r="G716" s="15">
        <f ca="1">IFERROR(__xludf.DUMMYFUNCTION("""COMPUTED_VALUE"""),0.54)</f>
        <v>0.54</v>
      </c>
      <c r="H716" s="15"/>
      <c r="I716" s="16">
        <f ca="1">IFERROR(__xludf.DUMMYFUNCTION("""COMPUTED_VALUE"""),1700000)</f>
        <v>1700000</v>
      </c>
    </row>
    <row r="717" spans="2:9" x14ac:dyDescent="0.3">
      <c r="B717" s="12" t="str">
        <f ca="1">IFERROR(__xludf.DUMMYFUNCTION("""COMPUTED_VALUE"""),"Круг")</f>
        <v>Круг</v>
      </c>
      <c r="C717" s="7" t="str">
        <f ca="1">IFERROR(__xludf.DUMMYFUNCTION("""COMPUTED_VALUE"""),"25Х17Н2Б-ш")</f>
        <v>25Х17Н2Б-ш</v>
      </c>
      <c r="D717" s="13">
        <f ca="1">IFERROR(__xludf.DUMMYFUNCTION("""COMPUTED_VALUE"""),32)</f>
        <v>32</v>
      </c>
      <c r="E717" s="13"/>
      <c r="F717" s="14" t="str">
        <f ca="1">IFERROR(__xludf.DUMMYFUNCTION("""COMPUTED_VALUE"""),"2590/14-1-1062-2021, УЗК ,РТТ")</f>
        <v>2590/14-1-1062-2021, УЗК ,РТТ</v>
      </c>
      <c r="G717" s="15">
        <f ca="1">IFERROR(__xludf.DUMMYFUNCTION("""COMPUTED_VALUE"""),0.96)</f>
        <v>0.96</v>
      </c>
      <c r="H717" s="15"/>
      <c r="I717" s="16">
        <f ca="1">IFERROR(__xludf.DUMMYFUNCTION("""COMPUTED_VALUE"""),1700000)</f>
        <v>1700000</v>
      </c>
    </row>
    <row r="718" spans="2:9" x14ac:dyDescent="0.3">
      <c r="B718" s="12" t="str">
        <f ca="1">IFERROR(__xludf.DUMMYFUNCTION("""COMPUTED_VALUE"""),"Круг")</f>
        <v>Круг</v>
      </c>
      <c r="C718" s="7" t="str">
        <f ca="1">IFERROR(__xludf.DUMMYFUNCTION("""COMPUTED_VALUE"""),"25Х17Н2Б-ш")</f>
        <v>25Х17Н2Б-ш</v>
      </c>
      <c r="D718" s="13">
        <f ca="1">IFERROR(__xludf.DUMMYFUNCTION("""COMPUTED_VALUE"""),36)</f>
        <v>36</v>
      </c>
      <c r="E718" s="13"/>
      <c r="F718" s="14" t="str">
        <f ca="1">IFERROR(__xludf.DUMMYFUNCTION("""COMPUTED_VALUE"""),"2590/14-1-1062-2021,2ГП, УЗК ,РТТ")</f>
        <v>2590/14-1-1062-2021,2ГП, УЗК ,РТТ</v>
      </c>
      <c r="G718" s="15">
        <f ca="1">IFERROR(__xludf.DUMMYFUNCTION("""COMPUTED_VALUE"""),0.046)</f>
        <v>4.5999999999999999E-2</v>
      </c>
      <c r="H718" s="15"/>
      <c r="I718" s="16">
        <f ca="1">IFERROR(__xludf.DUMMYFUNCTION("""COMPUTED_VALUE"""),1700000)</f>
        <v>1700000</v>
      </c>
    </row>
    <row r="719" spans="2:9" x14ac:dyDescent="0.3">
      <c r="B719" s="12" t="str">
        <f ca="1">IFERROR(__xludf.DUMMYFUNCTION("""COMPUTED_VALUE"""),"Круг")</f>
        <v>Круг</v>
      </c>
      <c r="C719" s="7" t="str">
        <f ca="1">IFERROR(__xludf.DUMMYFUNCTION("""COMPUTED_VALUE"""),"25Х17Н2Б-ш")</f>
        <v>25Х17Н2Б-ш</v>
      </c>
      <c r="D719" s="13">
        <f ca="1">IFERROR(__xludf.DUMMYFUNCTION("""COMPUTED_VALUE"""),36)</f>
        <v>36</v>
      </c>
      <c r="E719" s="13"/>
      <c r="F719" s="14" t="str">
        <f ca="1">IFERROR(__xludf.DUMMYFUNCTION("""COMPUTED_VALUE"""),"2590/14-1-1062-2021,2ГП, УЗК ,РТТ")</f>
        <v>2590/14-1-1062-2021,2ГП, УЗК ,РТТ</v>
      </c>
      <c r="G719" s="15">
        <f ca="1">IFERROR(__xludf.DUMMYFUNCTION("""COMPUTED_VALUE"""),2.25)</f>
        <v>2.25</v>
      </c>
      <c r="H719" s="15"/>
      <c r="I719" s="16">
        <f ca="1">IFERROR(__xludf.DUMMYFUNCTION("""COMPUTED_VALUE"""),1700000)</f>
        <v>1700000</v>
      </c>
    </row>
    <row r="720" spans="2:9" x14ac:dyDescent="0.3">
      <c r="B720" s="12" t="str">
        <f ca="1">IFERROR(__xludf.DUMMYFUNCTION("""COMPUTED_VALUE"""),"Круг")</f>
        <v>Круг</v>
      </c>
      <c r="C720" s="7" t="str">
        <f ca="1">IFERROR(__xludf.DUMMYFUNCTION("""COMPUTED_VALUE"""),"25Х17Н2Б-ш")</f>
        <v>25Х17Н2Б-ш</v>
      </c>
      <c r="D720" s="13">
        <f ca="1">IFERROR(__xludf.DUMMYFUNCTION("""COMPUTED_VALUE"""),36)</f>
        <v>36</v>
      </c>
      <c r="E720" s="13"/>
      <c r="F720" s="14" t="str">
        <f ca="1">IFERROR(__xludf.DUMMYFUNCTION("""COMPUTED_VALUE"""),"2590/14-1-1062-2021,2ГП, УЗК ,РТТ")</f>
        <v>2590/14-1-1062-2021,2ГП, УЗК ,РТТ</v>
      </c>
      <c r="G720" s="15">
        <f ca="1">IFERROR(__xludf.DUMMYFUNCTION("""COMPUTED_VALUE"""),0.21)</f>
        <v>0.21</v>
      </c>
      <c r="H720" s="15"/>
      <c r="I720" s="16">
        <f ca="1">IFERROR(__xludf.DUMMYFUNCTION("""COMPUTED_VALUE"""),1700000)</f>
        <v>1700000</v>
      </c>
    </row>
    <row r="721" spans="2:9" x14ac:dyDescent="0.3">
      <c r="B721" s="12" t="str">
        <f ca="1">IFERROR(__xludf.DUMMYFUNCTION("""COMPUTED_VALUE"""),"Круг")</f>
        <v>Круг</v>
      </c>
      <c r="C721" s="7" t="str">
        <f ca="1">IFERROR(__xludf.DUMMYFUNCTION("""COMPUTED_VALUE"""),"25Х17Н2Б-ш")</f>
        <v>25Х17Н2Б-ш</v>
      </c>
      <c r="D721" s="13">
        <f ca="1">IFERROR(__xludf.DUMMYFUNCTION("""COMPUTED_VALUE"""),36)</f>
        <v>36</v>
      </c>
      <c r="E721" s="13"/>
      <c r="F721" s="14" t="str">
        <f ca="1">IFERROR(__xludf.DUMMYFUNCTION("""COMPUTED_VALUE"""),"2590/14-1-1062-2021,2ГП, УЗК ,РТТ")</f>
        <v>2590/14-1-1062-2021,2ГП, УЗК ,РТТ</v>
      </c>
      <c r="G721" s="15">
        <f ca="1">IFERROR(__xludf.DUMMYFUNCTION("""COMPUTED_VALUE"""),0.24)</f>
        <v>0.24</v>
      </c>
      <c r="H721" s="15"/>
      <c r="I721" s="16">
        <f ca="1">IFERROR(__xludf.DUMMYFUNCTION("""COMPUTED_VALUE"""),1700000)</f>
        <v>1700000</v>
      </c>
    </row>
    <row r="722" spans="2:9" x14ac:dyDescent="0.3">
      <c r="B722" s="12" t="str">
        <f ca="1">IFERROR(__xludf.DUMMYFUNCTION("""COMPUTED_VALUE"""),"Круг")</f>
        <v>Круг</v>
      </c>
      <c r="C722" s="7" t="str">
        <f ca="1">IFERROR(__xludf.DUMMYFUNCTION("""COMPUTED_VALUE"""),"25Х17Н2Б-ш")</f>
        <v>25Х17Н2Б-ш</v>
      </c>
      <c r="D722" s="13">
        <f ca="1">IFERROR(__xludf.DUMMYFUNCTION("""COMPUTED_VALUE"""),36)</f>
        <v>36</v>
      </c>
      <c r="E722" s="13"/>
      <c r="F722" s="14" t="str">
        <f ca="1">IFERROR(__xludf.DUMMYFUNCTION("""COMPUTED_VALUE"""),"2590/14-1-1062-2021,2ГП, УЗК ,РТТ")</f>
        <v>2590/14-1-1062-2021,2ГП, УЗК ,РТТ</v>
      </c>
      <c r="G722" s="15">
        <f ca="1">IFERROR(__xludf.DUMMYFUNCTION("""COMPUTED_VALUE"""),0.525)</f>
        <v>0.52500000000000002</v>
      </c>
      <c r="H722" s="15"/>
      <c r="I722" s="16">
        <f ca="1">IFERROR(__xludf.DUMMYFUNCTION("""COMPUTED_VALUE"""),1700000)</f>
        <v>1700000</v>
      </c>
    </row>
    <row r="723" spans="2:9" x14ac:dyDescent="0.3">
      <c r="B723" s="12" t="str">
        <f ca="1">IFERROR(__xludf.DUMMYFUNCTION("""COMPUTED_VALUE"""),"Круг")</f>
        <v>Круг</v>
      </c>
      <c r="C723" s="7" t="str">
        <f ca="1">IFERROR(__xludf.DUMMYFUNCTION("""COMPUTED_VALUE"""),"25Х17Н2Б-ш")</f>
        <v>25Х17Н2Б-ш</v>
      </c>
      <c r="D723" s="13">
        <f ca="1">IFERROR(__xludf.DUMMYFUNCTION("""COMPUTED_VALUE"""),36)</f>
        <v>36</v>
      </c>
      <c r="E723" s="13"/>
      <c r="F723" s="14" t="str">
        <f ca="1">IFERROR(__xludf.DUMMYFUNCTION("""COMPUTED_VALUE"""),"2590/14-1-1062-2021,2ГП, УЗК ,РТТ")</f>
        <v>2590/14-1-1062-2021,2ГП, УЗК ,РТТ</v>
      </c>
      <c r="G723" s="15">
        <f ca="1">IFERROR(__xludf.DUMMYFUNCTION("""COMPUTED_VALUE"""),0.525)</f>
        <v>0.52500000000000002</v>
      </c>
      <c r="H723" s="15"/>
      <c r="I723" s="16">
        <f ca="1">IFERROR(__xludf.DUMMYFUNCTION("""COMPUTED_VALUE"""),1700000)</f>
        <v>1700000</v>
      </c>
    </row>
    <row r="724" spans="2:9" x14ac:dyDescent="0.3">
      <c r="B724" s="12" t="str">
        <f ca="1">IFERROR(__xludf.DUMMYFUNCTION("""COMPUTED_VALUE"""),"Круг")</f>
        <v>Круг</v>
      </c>
      <c r="C724" s="7" t="str">
        <f ca="1">IFERROR(__xludf.DUMMYFUNCTION("""COMPUTED_VALUE"""),"25Х17Н2Б-ш")</f>
        <v>25Х17Н2Б-ш</v>
      </c>
      <c r="D724" s="13">
        <f ca="1">IFERROR(__xludf.DUMMYFUNCTION("""COMPUTED_VALUE"""),40)</f>
        <v>40</v>
      </c>
      <c r="E724" s="13"/>
      <c r="F724" s="14" t="str">
        <f ca="1">IFERROR(__xludf.DUMMYFUNCTION("""COMPUTED_VALUE"""),"2590/14-1-1062-2021,2ГП, УЗК ,РТТ")</f>
        <v>2590/14-1-1062-2021,2ГП, УЗК ,РТТ</v>
      </c>
      <c r="G724" s="15">
        <f ca="1">IFERROR(__xludf.DUMMYFUNCTION("""COMPUTED_VALUE"""),0.423)</f>
        <v>0.42299999999999999</v>
      </c>
      <c r="H724" s="15"/>
      <c r="I724" s="16">
        <f ca="1">IFERROR(__xludf.DUMMYFUNCTION("""COMPUTED_VALUE"""),1700000)</f>
        <v>1700000</v>
      </c>
    </row>
    <row r="725" spans="2:9" x14ac:dyDescent="0.3">
      <c r="B725" s="12" t="str">
        <f ca="1">IFERROR(__xludf.DUMMYFUNCTION("""COMPUTED_VALUE"""),"Круг")</f>
        <v>Круг</v>
      </c>
      <c r="C725" s="7" t="str">
        <f ca="1">IFERROR(__xludf.DUMMYFUNCTION("""COMPUTED_VALUE"""),"25Х17Н2Б-ш")</f>
        <v>25Х17Н2Б-ш</v>
      </c>
      <c r="D725" s="13">
        <f ca="1">IFERROR(__xludf.DUMMYFUNCTION("""COMPUTED_VALUE"""),40)</f>
        <v>40</v>
      </c>
      <c r="E725" s="13"/>
      <c r="F725" s="14" t="str">
        <f ca="1">IFERROR(__xludf.DUMMYFUNCTION("""COMPUTED_VALUE"""),"2590/14-1-1062-2021,2ГП, УЗК ,РТТ")</f>
        <v>2590/14-1-1062-2021,2ГП, УЗК ,РТТ</v>
      </c>
      <c r="G725" s="15">
        <f ca="1">IFERROR(__xludf.DUMMYFUNCTION("""COMPUTED_VALUE"""),2.22)</f>
        <v>2.2200000000000002</v>
      </c>
      <c r="H725" s="15"/>
      <c r="I725" s="16">
        <f ca="1">IFERROR(__xludf.DUMMYFUNCTION("""COMPUTED_VALUE"""),1700000)</f>
        <v>1700000</v>
      </c>
    </row>
    <row r="726" spans="2:9" x14ac:dyDescent="0.3">
      <c r="B726" s="12" t="str">
        <f ca="1">IFERROR(__xludf.DUMMYFUNCTION("""COMPUTED_VALUE"""),"Круг")</f>
        <v>Круг</v>
      </c>
      <c r="C726" s="7" t="str">
        <f ca="1">IFERROR(__xludf.DUMMYFUNCTION("""COMPUTED_VALUE"""),"25Х17Н2Б-ш")</f>
        <v>25Х17Н2Б-ш</v>
      </c>
      <c r="D726" s="13">
        <f ca="1">IFERROR(__xludf.DUMMYFUNCTION("""COMPUTED_VALUE"""),40)</f>
        <v>40</v>
      </c>
      <c r="E726" s="13"/>
      <c r="F726" s="14" t="str">
        <f ca="1">IFERROR(__xludf.DUMMYFUNCTION("""COMPUTED_VALUE"""),"2590/14-1-1062-2021,2ГП, УЗК ,РТТ")</f>
        <v>2590/14-1-1062-2021,2ГП, УЗК ,РТТ</v>
      </c>
      <c r="G726" s="15">
        <f ca="1">IFERROR(__xludf.DUMMYFUNCTION("""COMPUTED_VALUE"""),0.32)</f>
        <v>0.32</v>
      </c>
      <c r="H726" s="15"/>
      <c r="I726" s="16">
        <f ca="1">IFERROR(__xludf.DUMMYFUNCTION("""COMPUTED_VALUE"""),1700000)</f>
        <v>1700000</v>
      </c>
    </row>
    <row r="727" spans="2:9" x14ac:dyDescent="0.3">
      <c r="B727" s="12" t="str">
        <f ca="1">IFERROR(__xludf.DUMMYFUNCTION("""COMPUTED_VALUE"""),"Круг")</f>
        <v>Круг</v>
      </c>
      <c r="C727" s="7" t="str">
        <f ca="1">IFERROR(__xludf.DUMMYFUNCTION("""COMPUTED_VALUE"""),"25Х17Н2Б-ш")</f>
        <v>25Х17Н2Б-ш</v>
      </c>
      <c r="D727" s="13">
        <f ca="1">IFERROR(__xludf.DUMMYFUNCTION("""COMPUTED_VALUE"""),40)</f>
        <v>40</v>
      </c>
      <c r="E727" s="13"/>
      <c r="F727" s="14" t="str">
        <f ca="1">IFERROR(__xludf.DUMMYFUNCTION("""COMPUTED_VALUE"""),"2590/14-1-1062-2021,2ГП, УЗК ,РТТ")</f>
        <v>2590/14-1-1062-2021,2ГП, УЗК ,РТТ</v>
      </c>
      <c r="G727" s="15">
        <f ca="1">IFERROR(__xludf.DUMMYFUNCTION("""COMPUTED_VALUE"""),0.87)</f>
        <v>0.87</v>
      </c>
      <c r="H727" s="15"/>
      <c r="I727" s="16">
        <f ca="1">IFERROR(__xludf.DUMMYFUNCTION("""COMPUTED_VALUE"""),1700000)</f>
        <v>1700000</v>
      </c>
    </row>
    <row r="728" spans="2:9" x14ac:dyDescent="0.3">
      <c r="B728" s="12" t="str">
        <f ca="1">IFERROR(__xludf.DUMMYFUNCTION("""COMPUTED_VALUE"""),"Круг")</f>
        <v>Круг</v>
      </c>
      <c r="C728" s="7" t="str">
        <f ca="1">IFERROR(__xludf.DUMMYFUNCTION("""COMPUTED_VALUE"""),"25Х17Н2Б-ш")</f>
        <v>25Х17Н2Б-ш</v>
      </c>
      <c r="D728" s="13">
        <f ca="1">IFERROR(__xludf.DUMMYFUNCTION("""COMPUTED_VALUE"""),50)</f>
        <v>50</v>
      </c>
      <c r="E728" s="13"/>
      <c r="F728" s="14" t="str">
        <f ca="1">IFERROR(__xludf.DUMMYFUNCTION("""COMPUTED_VALUE"""),"2590/14-1-1062-2021,2ГП, УЗК ,РТТ")</f>
        <v>2590/14-1-1062-2021,2ГП, УЗК ,РТТ</v>
      </c>
      <c r="G728" s="15">
        <f ca="1">IFERROR(__xludf.DUMMYFUNCTION("""COMPUTED_VALUE"""),0.0139999999999999)</f>
        <v>1.39999999999999E-2</v>
      </c>
      <c r="H728" s="15"/>
      <c r="I728" s="16">
        <f ca="1">IFERROR(__xludf.DUMMYFUNCTION("""COMPUTED_VALUE"""),1700000)</f>
        <v>1700000</v>
      </c>
    </row>
    <row r="729" spans="2:9" x14ac:dyDescent="0.3">
      <c r="B729" s="12" t="str">
        <f ca="1">IFERROR(__xludf.DUMMYFUNCTION("""COMPUTED_VALUE"""),"Круг")</f>
        <v>Круг</v>
      </c>
      <c r="C729" s="7" t="str">
        <f ca="1">IFERROR(__xludf.DUMMYFUNCTION("""COMPUTED_VALUE"""),"25Х17Н2Б-ш")</f>
        <v>25Х17Н2Б-ш</v>
      </c>
      <c r="D729" s="13">
        <f ca="1">IFERROR(__xludf.DUMMYFUNCTION("""COMPUTED_VALUE"""),56)</f>
        <v>56</v>
      </c>
      <c r="E729" s="13"/>
      <c r="F729" s="14" t="str">
        <f ca="1">IFERROR(__xludf.DUMMYFUNCTION("""COMPUTED_VALUE"""),"2590/14-1-1062-2021,2ГП, УЗК ,РТТ")</f>
        <v>2590/14-1-1062-2021,2ГП, УЗК ,РТТ</v>
      </c>
      <c r="G729" s="15">
        <f ca="1">IFERROR(__xludf.DUMMYFUNCTION("""COMPUTED_VALUE"""),0.767999999999999)</f>
        <v>0.76799999999999902</v>
      </c>
      <c r="H729" s="15"/>
      <c r="I729" s="16">
        <f ca="1">IFERROR(__xludf.DUMMYFUNCTION("""COMPUTED_VALUE"""),1700000)</f>
        <v>1700000</v>
      </c>
    </row>
    <row r="730" spans="2:9" x14ac:dyDescent="0.3">
      <c r="B730" s="12" t="str">
        <f ca="1">IFERROR(__xludf.DUMMYFUNCTION("""COMPUTED_VALUE"""),"Круг")</f>
        <v>Круг</v>
      </c>
      <c r="C730" s="7" t="str">
        <f ca="1">IFERROR(__xludf.DUMMYFUNCTION("""COMPUTED_VALUE"""),"25Х17Н2Б-ш")</f>
        <v>25Х17Н2Б-ш</v>
      </c>
      <c r="D730" s="13">
        <f ca="1">IFERROR(__xludf.DUMMYFUNCTION("""COMPUTED_VALUE"""),60)</f>
        <v>60</v>
      </c>
      <c r="E730" s="13"/>
      <c r="F730" s="14" t="str">
        <f ca="1">IFERROR(__xludf.DUMMYFUNCTION("""COMPUTED_VALUE"""),"2590/14-1-1062-2021,2ГП, УЗК ,РТТ")</f>
        <v>2590/14-1-1062-2021,2ГП, УЗК ,РТТ</v>
      </c>
      <c r="G730" s="15">
        <f ca="1">IFERROR(__xludf.DUMMYFUNCTION("""COMPUTED_VALUE"""),0.354)</f>
        <v>0.35399999999999998</v>
      </c>
      <c r="H730" s="15"/>
      <c r="I730" s="16">
        <f ca="1">IFERROR(__xludf.DUMMYFUNCTION("""COMPUTED_VALUE"""),1700000)</f>
        <v>1700000</v>
      </c>
    </row>
    <row r="731" spans="2:9" x14ac:dyDescent="0.3">
      <c r="B731" s="12" t="str">
        <f ca="1">IFERROR(__xludf.DUMMYFUNCTION("""COMPUTED_VALUE"""),"Круг")</f>
        <v>Круг</v>
      </c>
      <c r="C731" s="7" t="str">
        <f ca="1">IFERROR(__xludf.DUMMYFUNCTION("""COMPUTED_VALUE"""),"25Х17Н2Б-ш")</f>
        <v>25Х17Н2Б-ш</v>
      </c>
      <c r="D731" s="13">
        <f ca="1">IFERROR(__xludf.DUMMYFUNCTION("""COMPUTED_VALUE"""),65)</f>
        <v>65</v>
      </c>
      <c r="E731" s="13"/>
      <c r="F731" s="14" t="str">
        <f ca="1">IFERROR(__xludf.DUMMYFUNCTION("""COMPUTED_VALUE"""),"2590/14-1-1062-2021,2ГП, УЗК ,РТТ")</f>
        <v>2590/14-1-1062-2021,2ГП, УЗК ,РТТ</v>
      </c>
      <c r="G731" s="15">
        <f ca="1">IFERROR(__xludf.DUMMYFUNCTION("""COMPUTED_VALUE"""),0.85)</f>
        <v>0.85</v>
      </c>
      <c r="H731" s="15"/>
      <c r="I731" s="16">
        <f ca="1">IFERROR(__xludf.DUMMYFUNCTION("""COMPUTED_VALUE"""),1700000)</f>
        <v>1700000</v>
      </c>
    </row>
    <row r="732" spans="2:9" x14ac:dyDescent="0.3">
      <c r="B732" s="12" t="str">
        <f ca="1">IFERROR(__xludf.DUMMYFUNCTION("""COMPUTED_VALUE"""),"Круг")</f>
        <v>Круг</v>
      </c>
      <c r="C732" s="7" t="str">
        <f ca="1">IFERROR(__xludf.DUMMYFUNCTION("""COMPUTED_VALUE"""),"25Х17Н2Б-ш")</f>
        <v>25Х17Н2Б-ш</v>
      </c>
      <c r="D732" s="13">
        <f ca="1">IFERROR(__xludf.DUMMYFUNCTION("""COMPUTED_VALUE"""),70)</f>
        <v>70</v>
      </c>
      <c r="E732" s="13"/>
      <c r="F732" s="14" t="str">
        <f ca="1">IFERROR(__xludf.DUMMYFUNCTION("""COMPUTED_VALUE"""),"2590/14-1-1062-2021,2ГП, УЗК ,РТТ")</f>
        <v>2590/14-1-1062-2021,2ГП, УЗК ,РТТ</v>
      </c>
      <c r="G732" s="15">
        <f ca="1">IFERROR(__xludf.DUMMYFUNCTION("""COMPUTED_VALUE"""),0.288)</f>
        <v>0.28799999999999998</v>
      </c>
      <c r="H732" s="15"/>
      <c r="I732" s="16">
        <f ca="1">IFERROR(__xludf.DUMMYFUNCTION("""COMPUTED_VALUE"""),1700000)</f>
        <v>1700000</v>
      </c>
    </row>
    <row r="733" spans="2:9" x14ac:dyDescent="0.3">
      <c r="B733" s="12" t="str">
        <f ca="1">IFERROR(__xludf.DUMMYFUNCTION("""COMPUTED_VALUE"""),"Круг")</f>
        <v>Круг</v>
      </c>
      <c r="C733" s="7" t="str">
        <f ca="1">IFERROR(__xludf.DUMMYFUNCTION("""COMPUTED_VALUE"""),"25Х17Н2Б-ш")</f>
        <v>25Х17Н2Б-ш</v>
      </c>
      <c r="D733" s="13">
        <f ca="1">IFERROR(__xludf.DUMMYFUNCTION("""COMPUTED_VALUE"""),70)</f>
        <v>70</v>
      </c>
      <c r="E733" s="13"/>
      <c r="F733" s="14" t="str">
        <f ca="1">IFERROR(__xludf.DUMMYFUNCTION("""COMPUTED_VALUE"""),"2590/14-1-1062-2021,2ГП, УЗК ,РТТ")</f>
        <v>2590/14-1-1062-2021,2ГП, УЗК ,РТТ</v>
      </c>
      <c r="G733" s="15">
        <f ca="1">IFERROR(__xludf.DUMMYFUNCTION("""COMPUTED_VALUE"""),0.49)</f>
        <v>0.49</v>
      </c>
      <c r="H733" s="15"/>
      <c r="I733" s="16">
        <f ca="1">IFERROR(__xludf.DUMMYFUNCTION("""COMPUTED_VALUE"""),1700000)</f>
        <v>1700000</v>
      </c>
    </row>
    <row r="734" spans="2:9" x14ac:dyDescent="0.3">
      <c r="B734" s="12" t="str">
        <f ca="1">IFERROR(__xludf.DUMMYFUNCTION("""COMPUTED_VALUE"""),"Круг")</f>
        <v>Круг</v>
      </c>
      <c r="C734" s="7" t="str">
        <f ca="1">IFERROR(__xludf.DUMMYFUNCTION("""COMPUTED_VALUE"""),"25Х17Н2Б-ш")</f>
        <v>25Х17Н2Б-ш</v>
      </c>
      <c r="D734" s="13">
        <f ca="1">IFERROR(__xludf.DUMMYFUNCTION("""COMPUTED_VALUE"""),75)</f>
        <v>75</v>
      </c>
      <c r="E734" s="13"/>
      <c r="F734" s="14" t="str">
        <f ca="1">IFERROR(__xludf.DUMMYFUNCTION("""COMPUTED_VALUE"""),"2590/14-1-1062-2021,2ГП, УЗК ,РТТ")</f>
        <v>2590/14-1-1062-2021,2ГП, УЗК ,РТТ</v>
      </c>
      <c r="G734" s="15">
        <f ca="1">IFERROR(__xludf.DUMMYFUNCTION("""COMPUTED_VALUE"""),1.12)</f>
        <v>1.1200000000000001</v>
      </c>
      <c r="H734" s="15"/>
      <c r="I734" s="16">
        <f ca="1">IFERROR(__xludf.DUMMYFUNCTION("""COMPUTED_VALUE"""),1700000)</f>
        <v>1700000</v>
      </c>
    </row>
    <row r="735" spans="2:9" x14ac:dyDescent="0.3">
      <c r="B735" s="12" t="str">
        <f ca="1">IFERROR(__xludf.DUMMYFUNCTION("""COMPUTED_VALUE"""),"Круг")</f>
        <v>Круг</v>
      </c>
      <c r="C735" s="7" t="str">
        <f ca="1">IFERROR(__xludf.DUMMYFUNCTION("""COMPUTED_VALUE"""),"25Х17Н2Б-ш")</f>
        <v>25Х17Н2Б-ш</v>
      </c>
      <c r="D735" s="13">
        <f ca="1">IFERROR(__xludf.DUMMYFUNCTION("""COMPUTED_VALUE"""),75)</f>
        <v>75</v>
      </c>
      <c r="E735" s="13"/>
      <c r="F735" s="14" t="str">
        <f ca="1">IFERROR(__xludf.DUMMYFUNCTION("""COMPUTED_VALUE"""),"2590/14-1-1062-2021,2ГП, УЗК ,РТТ")</f>
        <v>2590/14-1-1062-2021,2ГП, УЗК ,РТТ</v>
      </c>
      <c r="G735" s="15">
        <f ca="1">IFERROR(__xludf.DUMMYFUNCTION("""COMPUTED_VALUE"""),0.13)</f>
        <v>0.13</v>
      </c>
      <c r="H735" s="15"/>
      <c r="I735" s="16">
        <f ca="1">IFERROR(__xludf.DUMMYFUNCTION("""COMPUTED_VALUE"""),1700000)</f>
        <v>1700000</v>
      </c>
    </row>
    <row r="736" spans="2:9" x14ac:dyDescent="0.3">
      <c r="B736" s="12" t="str">
        <f ca="1">IFERROR(__xludf.DUMMYFUNCTION("""COMPUTED_VALUE"""),"Круг")</f>
        <v>Круг</v>
      </c>
      <c r="C736" s="7" t="str">
        <f ca="1">IFERROR(__xludf.DUMMYFUNCTION("""COMPUTED_VALUE"""),"25Х17Н2Б-ш")</f>
        <v>25Х17Н2Б-ш</v>
      </c>
      <c r="D736" s="13">
        <f ca="1">IFERROR(__xludf.DUMMYFUNCTION("""COMPUTED_VALUE"""),75)</f>
        <v>75</v>
      </c>
      <c r="E736" s="13"/>
      <c r="F736" s="14" t="str">
        <f ca="1">IFERROR(__xludf.DUMMYFUNCTION("""COMPUTED_VALUE"""),"2590/14-1-1062-2021,2ГП, УЗК ,РТТ")</f>
        <v>2590/14-1-1062-2021,2ГП, УЗК ,РТТ</v>
      </c>
      <c r="G736" s="15">
        <f ca="1">IFERROR(__xludf.DUMMYFUNCTION("""COMPUTED_VALUE"""),0.32)</f>
        <v>0.32</v>
      </c>
      <c r="H736" s="15"/>
      <c r="I736" s="16">
        <f ca="1">IFERROR(__xludf.DUMMYFUNCTION("""COMPUTED_VALUE"""),1700000)</f>
        <v>1700000</v>
      </c>
    </row>
    <row r="737" spans="2:9" x14ac:dyDescent="0.3">
      <c r="B737" s="12" t="str">
        <f ca="1">IFERROR(__xludf.DUMMYFUNCTION("""COMPUTED_VALUE"""),"Круг")</f>
        <v>Круг</v>
      </c>
      <c r="C737" s="7" t="str">
        <f ca="1">IFERROR(__xludf.DUMMYFUNCTION("""COMPUTED_VALUE"""),"25Х17Н2Б-ш")</f>
        <v>25Х17Н2Б-ш</v>
      </c>
      <c r="D737" s="13">
        <f ca="1">IFERROR(__xludf.DUMMYFUNCTION("""COMPUTED_VALUE"""),80)</f>
        <v>80</v>
      </c>
      <c r="E737" s="13"/>
      <c r="F737" s="14" t="str">
        <f ca="1">IFERROR(__xludf.DUMMYFUNCTION("""COMPUTED_VALUE"""),"2590/14-1-1062-2021,2ГП, УЗК ,РТТ")</f>
        <v>2590/14-1-1062-2021,2ГП, УЗК ,РТТ</v>
      </c>
      <c r="G737" s="15">
        <f ca="1">IFERROR(__xludf.DUMMYFUNCTION("""COMPUTED_VALUE"""),0.806999999999999)</f>
        <v>0.80699999999999905</v>
      </c>
      <c r="H737" s="15"/>
      <c r="I737" s="16">
        <f ca="1">IFERROR(__xludf.DUMMYFUNCTION("""COMPUTED_VALUE"""),1700000)</f>
        <v>1700000</v>
      </c>
    </row>
    <row r="738" spans="2:9" x14ac:dyDescent="0.3">
      <c r="B738" s="12" t="str">
        <f ca="1">IFERROR(__xludf.DUMMYFUNCTION("""COMPUTED_VALUE"""),"Круг")</f>
        <v>Круг</v>
      </c>
      <c r="C738" s="7" t="str">
        <f ca="1">IFERROR(__xludf.DUMMYFUNCTION("""COMPUTED_VALUE"""),"25Х17Н2Б-ш")</f>
        <v>25Х17Н2Б-ш</v>
      </c>
      <c r="D738" s="13">
        <f ca="1">IFERROR(__xludf.DUMMYFUNCTION("""COMPUTED_VALUE"""),90)</f>
        <v>90</v>
      </c>
      <c r="E738" s="13"/>
      <c r="F738" s="14" t="str">
        <f ca="1">IFERROR(__xludf.DUMMYFUNCTION("""COMPUTED_VALUE"""),"2590/14-1-1062-2021,2ГП, УЗК ,РТТ")</f>
        <v>2590/14-1-1062-2021,2ГП, УЗК ,РТТ</v>
      </c>
      <c r="G738" s="15">
        <f ca="1">IFERROR(__xludf.DUMMYFUNCTION("""COMPUTED_VALUE"""),0.505)</f>
        <v>0.505</v>
      </c>
      <c r="H738" s="15"/>
      <c r="I738" s="16">
        <f ca="1">IFERROR(__xludf.DUMMYFUNCTION("""COMPUTED_VALUE"""),1700000)</f>
        <v>1700000</v>
      </c>
    </row>
    <row r="739" spans="2:9" x14ac:dyDescent="0.3">
      <c r="B739" s="12" t="str">
        <f ca="1">IFERROR(__xludf.DUMMYFUNCTION("""COMPUTED_VALUE"""),"Круг")</f>
        <v>Круг</v>
      </c>
      <c r="C739" s="7" t="str">
        <f ca="1">IFERROR(__xludf.DUMMYFUNCTION("""COMPUTED_VALUE"""),"25Х17Н2Б-ш")</f>
        <v>25Х17Н2Б-ш</v>
      </c>
      <c r="D739" s="13">
        <f ca="1">IFERROR(__xludf.DUMMYFUNCTION("""COMPUTED_VALUE"""),90)</f>
        <v>90</v>
      </c>
      <c r="E739" s="13"/>
      <c r="F739" s="14" t="str">
        <f ca="1">IFERROR(__xludf.DUMMYFUNCTION("""COMPUTED_VALUE"""),"2590/14-1-1062-2021,2ГП, УЗК ,РТТ")</f>
        <v>2590/14-1-1062-2021,2ГП, УЗК ,РТТ</v>
      </c>
      <c r="G739" s="15">
        <f ca="1">IFERROR(__xludf.DUMMYFUNCTION("""COMPUTED_VALUE"""),1.51)</f>
        <v>1.51</v>
      </c>
      <c r="H739" s="15"/>
      <c r="I739" s="16">
        <f ca="1">IFERROR(__xludf.DUMMYFUNCTION("""COMPUTED_VALUE"""),1700000)</f>
        <v>1700000</v>
      </c>
    </row>
    <row r="740" spans="2:9" x14ac:dyDescent="0.3">
      <c r="B740" s="12" t="str">
        <f ca="1">IFERROR(__xludf.DUMMYFUNCTION("""COMPUTED_VALUE"""),"Круг ")</f>
        <v xml:space="preserve">Круг </v>
      </c>
      <c r="C740" s="7" t="str">
        <f ca="1">IFERROR(__xludf.DUMMYFUNCTION("""COMPUTED_VALUE"""),"20х13")</f>
        <v>20х13</v>
      </c>
      <c r="D740" s="13">
        <f ca="1">IFERROR(__xludf.DUMMYFUNCTION("""COMPUTED_VALUE"""),34)</f>
        <v>34</v>
      </c>
      <c r="E740" s="13"/>
      <c r="F740" s="14" t="str">
        <f ca="1">IFERROR(__xludf.DUMMYFUNCTION("""COMPUTED_VALUE"""),"ГОСТ 5949/ ГОСТ 2590 , УЗК")</f>
        <v>ГОСТ 5949/ ГОСТ 2590 , УЗК</v>
      </c>
      <c r="G740" s="15">
        <f ca="1">IFERROR(__xludf.DUMMYFUNCTION("""COMPUTED_VALUE"""),0.186)</f>
        <v>0.186</v>
      </c>
      <c r="H740" s="15"/>
      <c r="I740" s="16">
        <f ca="1">IFERROR(__xludf.DUMMYFUNCTION("""COMPUTED_VALUE"""),180000)</f>
        <v>180000</v>
      </c>
    </row>
    <row r="741" spans="2:9" x14ac:dyDescent="0.3">
      <c r="B741" s="12" t="str">
        <f ca="1">IFERROR(__xludf.DUMMYFUNCTION("""COMPUTED_VALUE"""),"Круг ")</f>
        <v xml:space="preserve">Круг </v>
      </c>
      <c r="C741" s="7" t="str">
        <f ca="1">IFERROR(__xludf.DUMMYFUNCTION("""COMPUTED_VALUE"""),"20х13")</f>
        <v>20х13</v>
      </c>
      <c r="D741" s="13">
        <f ca="1">IFERROR(__xludf.DUMMYFUNCTION("""COMPUTED_VALUE"""),35)</f>
        <v>35</v>
      </c>
      <c r="E741" s="13"/>
      <c r="F741" s="14" t="str">
        <f ca="1">IFERROR(__xludf.DUMMYFUNCTION("""COMPUTED_VALUE"""),"ГОСТ 5949/ ГОСТ 2590 , УЗК")</f>
        <v>ГОСТ 5949/ ГОСТ 2590 , УЗК</v>
      </c>
      <c r="G741" s="15">
        <f ca="1">IFERROR(__xludf.DUMMYFUNCTION("""COMPUTED_VALUE"""),1.351)</f>
        <v>1.351</v>
      </c>
      <c r="H741" s="15"/>
      <c r="I741" s="16">
        <f ca="1">IFERROR(__xludf.DUMMYFUNCTION("""COMPUTED_VALUE"""),180000)</f>
        <v>180000</v>
      </c>
    </row>
    <row r="742" spans="2:9" x14ac:dyDescent="0.3">
      <c r="B742" s="12" t="str">
        <f ca="1">IFERROR(__xludf.DUMMYFUNCTION("""COMPUTED_VALUE"""),"Круг ")</f>
        <v xml:space="preserve">Круг </v>
      </c>
      <c r="C742" s="7" t="str">
        <f ca="1">IFERROR(__xludf.DUMMYFUNCTION("""COMPUTED_VALUE"""),"20х13")</f>
        <v>20х13</v>
      </c>
      <c r="D742" s="13">
        <f ca="1">IFERROR(__xludf.DUMMYFUNCTION("""COMPUTED_VALUE"""),38)</f>
        <v>38</v>
      </c>
      <c r="E742" s="13"/>
      <c r="F742" s="14" t="str">
        <f ca="1">IFERROR(__xludf.DUMMYFUNCTION("""COMPUTED_VALUE"""),"ГОСТ 5949/ ГОСТ 2590 , УЗК")</f>
        <v>ГОСТ 5949/ ГОСТ 2590 , УЗК</v>
      </c>
      <c r="G742" s="15">
        <f ca="1">IFERROR(__xludf.DUMMYFUNCTION("""COMPUTED_VALUE"""),0.402)</f>
        <v>0.40200000000000002</v>
      </c>
      <c r="H742" s="15"/>
      <c r="I742" s="16">
        <f ca="1">IFERROR(__xludf.DUMMYFUNCTION("""COMPUTED_VALUE"""),180000)</f>
        <v>180000</v>
      </c>
    </row>
    <row r="743" spans="2:9" x14ac:dyDescent="0.3">
      <c r="B743" s="12" t="str">
        <f ca="1">IFERROR(__xludf.DUMMYFUNCTION("""COMPUTED_VALUE"""),"Круг ")</f>
        <v xml:space="preserve">Круг </v>
      </c>
      <c r="C743" s="7" t="str">
        <f ca="1">IFERROR(__xludf.DUMMYFUNCTION("""COMPUTED_VALUE"""),"20х13")</f>
        <v>20х13</v>
      </c>
      <c r="D743" s="13">
        <f ca="1">IFERROR(__xludf.DUMMYFUNCTION("""COMPUTED_VALUE"""),58)</f>
        <v>58</v>
      </c>
      <c r="E743" s="13"/>
      <c r="F743" s="14" t="str">
        <f ca="1">IFERROR(__xludf.DUMMYFUNCTION("""COMPUTED_VALUE"""),"ГОСТ 5949/ ГОСТ 2590 , УЗК")</f>
        <v>ГОСТ 5949/ ГОСТ 2590 , УЗК</v>
      </c>
      <c r="G743" s="15">
        <f ca="1">IFERROR(__xludf.DUMMYFUNCTION("""COMPUTED_VALUE"""),0.628)</f>
        <v>0.628</v>
      </c>
      <c r="H743" s="15"/>
      <c r="I743" s="16">
        <f ca="1">IFERROR(__xludf.DUMMYFUNCTION("""COMPUTED_VALUE"""),180000)</f>
        <v>180000</v>
      </c>
    </row>
    <row r="744" spans="2:9" x14ac:dyDescent="0.3">
      <c r="B744" s="12" t="str">
        <f ca="1">IFERROR(__xludf.DUMMYFUNCTION("""COMPUTED_VALUE"""),"круг ков")</f>
        <v>круг ков</v>
      </c>
      <c r="C744" s="7" t="str">
        <f ca="1">IFERROR(__xludf.DUMMYFUNCTION("""COMPUTED_VALUE"""),"40Х13")</f>
        <v>40Х13</v>
      </c>
      <c r="D744" s="13">
        <f ca="1">IFERROR(__xludf.DUMMYFUNCTION("""COMPUTED_VALUE"""),250)</f>
        <v>250</v>
      </c>
      <c r="E744" s="13"/>
      <c r="F744" s="14" t="str">
        <f ca="1">IFERROR(__xludf.DUMMYFUNCTION("""COMPUTED_VALUE"""),"УЗК обточка")</f>
        <v>УЗК обточка</v>
      </c>
      <c r="G744" s="15">
        <f ca="1">IFERROR(__xludf.DUMMYFUNCTION("""COMPUTED_VALUE"""),0.358)</f>
        <v>0.35799999999999998</v>
      </c>
      <c r="H744" s="15"/>
      <c r="I744" s="16">
        <f ca="1">IFERROR(__xludf.DUMMYFUNCTION("""COMPUTED_VALUE"""),540000)</f>
        <v>540000</v>
      </c>
    </row>
    <row r="745" spans="2:9" x14ac:dyDescent="0.3">
      <c r="B745" s="12" t="str">
        <f ca="1">IFERROR(__xludf.DUMMYFUNCTION("""COMPUTED_VALUE"""),"круг ков")</f>
        <v>круг ков</v>
      </c>
      <c r="C745" s="7" t="str">
        <f ca="1">IFERROR(__xludf.DUMMYFUNCTION("""COMPUTED_VALUE"""),"40Х13")</f>
        <v>40Х13</v>
      </c>
      <c r="D745" s="13">
        <f ca="1">IFERROR(__xludf.DUMMYFUNCTION("""COMPUTED_VALUE"""),250)</f>
        <v>250</v>
      </c>
      <c r="E745" s="13"/>
      <c r="F745" s="14" t="str">
        <f ca="1">IFERROR(__xludf.DUMMYFUNCTION("""COMPUTED_VALUE"""),"УЗК обточка")</f>
        <v>УЗК обточка</v>
      </c>
      <c r="G745" s="15">
        <f ca="1">IFERROR(__xludf.DUMMYFUNCTION("""COMPUTED_VALUE"""),1.10599999999999)</f>
        <v>1.1059999999999901</v>
      </c>
      <c r="H745" s="15"/>
      <c r="I745" s="16">
        <f ca="1">IFERROR(__xludf.DUMMYFUNCTION("""COMPUTED_VALUE"""),540000)</f>
        <v>540000</v>
      </c>
    </row>
    <row r="746" spans="2:9" x14ac:dyDescent="0.3">
      <c r="B746" s="12" t="str">
        <f ca="1">IFERROR(__xludf.DUMMYFUNCTION("""COMPUTED_VALUE"""),"круг ков")</f>
        <v>круг ков</v>
      </c>
      <c r="C746" s="7" t="str">
        <f ca="1">IFERROR(__xludf.DUMMYFUNCTION("""COMPUTED_VALUE"""),"40Х13")</f>
        <v>40Х13</v>
      </c>
      <c r="D746" s="13">
        <f ca="1">IFERROR(__xludf.DUMMYFUNCTION("""COMPUTED_VALUE"""),300)</f>
        <v>300</v>
      </c>
      <c r="E746" s="13"/>
      <c r="F746" s="14" t="str">
        <f ca="1">IFERROR(__xludf.DUMMYFUNCTION("""COMPUTED_VALUE"""),"УЗК обточка")</f>
        <v>УЗК обточка</v>
      </c>
      <c r="G746" s="15">
        <f ca="1">IFERROR(__xludf.DUMMYFUNCTION("""COMPUTED_VALUE"""),2.972)</f>
        <v>2.972</v>
      </c>
      <c r="H746" s="15"/>
      <c r="I746" s="16">
        <f ca="1">IFERROR(__xludf.DUMMYFUNCTION("""COMPUTED_VALUE"""),540000)</f>
        <v>540000</v>
      </c>
    </row>
    <row r="747" spans="2:9" x14ac:dyDescent="0.3">
      <c r="B747" s="12" t="str">
        <f ca="1">IFERROR(__xludf.DUMMYFUNCTION("""COMPUTED_VALUE"""),"круг ков")</f>
        <v>круг ков</v>
      </c>
      <c r="C747" s="7" t="str">
        <f ca="1">IFERROR(__xludf.DUMMYFUNCTION("""COMPUTED_VALUE"""),"40Х13")</f>
        <v>40Х13</v>
      </c>
      <c r="D747" s="13">
        <f ca="1">IFERROR(__xludf.DUMMYFUNCTION("""COMPUTED_VALUE"""),350)</f>
        <v>350</v>
      </c>
      <c r="E747" s="13"/>
      <c r="F747" s="14" t="str">
        <f ca="1">IFERROR(__xludf.DUMMYFUNCTION("""COMPUTED_VALUE"""),"УЗК обточка")</f>
        <v>УЗК обточка</v>
      </c>
      <c r="G747" s="15">
        <f ca="1">IFERROR(__xludf.DUMMYFUNCTION("""COMPUTED_VALUE"""),1.77799999999999)</f>
        <v>1.77799999999999</v>
      </c>
      <c r="H747" s="15"/>
      <c r="I747" s="16">
        <f ca="1">IFERROR(__xludf.DUMMYFUNCTION("""COMPUTED_VALUE"""),540000)</f>
        <v>540000</v>
      </c>
    </row>
    <row r="748" spans="2:9" x14ac:dyDescent="0.3">
      <c r="B748" s="12" t="str">
        <f ca="1">IFERROR(__xludf.DUMMYFUNCTION("""COMPUTED_VALUE"""),"круг ков")</f>
        <v>круг ков</v>
      </c>
      <c r="C748" s="7" t="str">
        <f ca="1">IFERROR(__xludf.DUMMYFUNCTION("""COMPUTED_VALUE"""),"40Х13")</f>
        <v>40Х13</v>
      </c>
      <c r="D748" s="13">
        <f ca="1">IFERROR(__xludf.DUMMYFUNCTION("""COMPUTED_VALUE"""),400)</f>
        <v>400</v>
      </c>
      <c r="E748" s="13"/>
      <c r="F748" s="14" t="str">
        <f ca="1">IFERROR(__xludf.DUMMYFUNCTION("""COMPUTED_VALUE"""),"УЗК обточка")</f>
        <v>УЗК обточка</v>
      </c>
      <c r="G748" s="15">
        <f ca="1">IFERROR(__xludf.DUMMYFUNCTION("""COMPUTED_VALUE"""),1.409)</f>
        <v>1.409</v>
      </c>
      <c r="H748" s="15"/>
      <c r="I748" s="16">
        <f ca="1">IFERROR(__xludf.DUMMYFUNCTION("""COMPUTED_VALUE"""),540000)</f>
        <v>540000</v>
      </c>
    </row>
    <row r="749" spans="2:9" x14ac:dyDescent="0.3">
      <c r="B749" s="12" t="str">
        <f ca="1">IFERROR(__xludf.DUMMYFUNCTION("""COMPUTED_VALUE"""),"круг ков")</f>
        <v>круг ков</v>
      </c>
      <c r="C749" s="7" t="str">
        <f ca="1">IFERROR(__xludf.DUMMYFUNCTION("""COMPUTED_VALUE"""),"14Х17Н2")</f>
        <v>14Х17Н2</v>
      </c>
      <c r="D749" s="13">
        <f ca="1">IFERROR(__xludf.DUMMYFUNCTION("""COMPUTED_VALUE"""),250)</f>
        <v>250</v>
      </c>
      <c r="E749" s="13"/>
      <c r="F749" s="14" t="str">
        <f ca="1">IFERROR(__xludf.DUMMYFUNCTION("""COMPUTED_VALUE"""),"УЗК обточка")</f>
        <v>УЗК обточка</v>
      </c>
      <c r="G749" s="15">
        <f ca="1">IFERROR(__xludf.DUMMYFUNCTION("""COMPUTED_VALUE"""),0.09)</f>
        <v>0.09</v>
      </c>
      <c r="H749" s="15"/>
      <c r="I749" s="16">
        <f ca="1">IFERROR(__xludf.DUMMYFUNCTION("""COMPUTED_VALUE"""),585000)</f>
        <v>585000</v>
      </c>
    </row>
    <row r="750" spans="2:9" x14ac:dyDescent="0.3">
      <c r="B750" s="12" t="str">
        <f ca="1">IFERROR(__xludf.DUMMYFUNCTION("""COMPUTED_VALUE"""),"круг ков")</f>
        <v>круг ков</v>
      </c>
      <c r="C750" s="7" t="str">
        <f ca="1">IFERROR(__xludf.DUMMYFUNCTION("""COMPUTED_VALUE"""),"14Х17Н2")</f>
        <v>14Х17Н2</v>
      </c>
      <c r="D750" s="13">
        <f ca="1">IFERROR(__xludf.DUMMYFUNCTION("""COMPUTED_VALUE"""),250)</f>
        <v>250</v>
      </c>
      <c r="E750" s="13"/>
      <c r="F750" s="14" t="str">
        <f ca="1">IFERROR(__xludf.DUMMYFUNCTION("""COMPUTED_VALUE"""),"УЗК обточка")</f>
        <v>УЗК обточка</v>
      </c>
      <c r="G750" s="15">
        <f ca="1">IFERROR(__xludf.DUMMYFUNCTION("""COMPUTED_VALUE"""),0.258999999999999)</f>
        <v>0.25899999999999901</v>
      </c>
      <c r="H750" s="15"/>
      <c r="I750" s="16">
        <f ca="1">IFERROR(__xludf.DUMMYFUNCTION("""COMPUTED_VALUE"""),585000)</f>
        <v>585000</v>
      </c>
    </row>
    <row r="751" spans="2:9" x14ac:dyDescent="0.3">
      <c r="B751" s="12" t="str">
        <f ca="1">IFERROR(__xludf.DUMMYFUNCTION("""COMPUTED_VALUE"""),"круг ков")</f>
        <v>круг ков</v>
      </c>
      <c r="C751" s="7" t="str">
        <f ca="1">IFERROR(__xludf.DUMMYFUNCTION("""COMPUTED_VALUE"""),"14Х17Н2")</f>
        <v>14Х17Н2</v>
      </c>
      <c r="D751" s="13">
        <f ca="1">IFERROR(__xludf.DUMMYFUNCTION("""COMPUTED_VALUE"""),250)</f>
        <v>250</v>
      </c>
      <c r="E751" s="13"/>
      <c r="F751" s="14" t="str">
        <f ca="1">IFERROR(__xludf.DUMMYFUNCTION("""COMPUTED_VALUE"""),"УЗК обточка")</f>
        <v>УЗК обточка</v>
      </c>
      <c r="G751" s="15">
        <f ca="1">IFERROR(__xludf.DUMMYFUNCTION("""COMPUTED_VALUE"""),0.595)</f>
        <v>0.59499999999999997</v>
      </c>
      <c r="H751" s="15"/>
      <c r="I751" s="16">
        <f ca="1">IFERROR(__xludf.DUMMYFUNCTION("""COMPUTED_VALUE"""),585000)</f>
        <v>585000</v>
      </c>
    </row>
    <row r="752" spans="2:9" x14ac:dyDescent="0.3">
      <c r="B752" s="12" t="str">
        <f ca="1">IFERROR(__xludf.DUMMYFUNCTION("""COMPUTED_VALUE"""),"круг ков")</f>
        <v>круг ков</v>
      </c>
      <c r="C752" s="7" t="str">
        <f ca="1">IFERROR(__xludf.DUMMYFUNCTION("""COMPUTED_VALUE"""),"14Х17Н2")</f>
        <v>14Х17Н2</v>
      </c>
      <c r="D752" s="13">
        <f ca="1">IFERROR(__xludf.DUMMYFUNCTION("""COMPUTED_VALUE"""),250)</f>
        <v>250</v>
      </c>
      <c r="E752" s="13"/>
      <c r="F752" s="14" t="str">
        <f ca="1">IFERROR(__xludf.DUMMYFUNCTION("""COMPUTED_VALUE"""),"УЗК обточка")</f>
        <v>УЗК обточка</v>
      </c>
      <c r="G752" s="15">
        <f ca="1">IFERROR(__xludf.DUMMYFUNCTION("""COMPUTED_VALUE"""),1.3)</f>
        <v>1.3</v>
      </c>
      <c r="H752" s="15"/>
      <c r="I752" s="16">
        <f ca="1">IFERROR(__xludf.DUMMYFUNCTION("""COMPUTED_VALUE"""),585000)</f>
        <v>585000</v>
      </c>
    </row>
    <row r="753" spans="2:9" x14ac:dyDescent="0.3">
      <c r="B753" s="12" t="str">
        <f ca="1">IFERROR(__xludf.DUMMYFUNCTION("""COMPUTED_VALUE"""),"круг ков")</f>
        <v>круг ков</v>
      </c>
      <c r="C753" s="7" t="str">
        <f ca="1">IFERROR(__xludf.DUMMYFUNCTION("""COMPUTED_VALUE"""),"14Х17Н2")</f>
        <v>14Х17Н2</v>
      </c>
      <c r="D753" s="13">
        <f ca="1">IFERROR(__xludf.DUMMYFUNCTION("""COMPUTED_VALUE"""),250)</f>
        <v>250</v>
      </c>
      <c r="E753" s="13"/>
      <c r="F753" s="14" t="str">
        <f ca="1">IFERROR(__xludf.DUMMYFUNCTION("""COMPUTED_VALUE"""),"узк, без обточки")</f>
        <v>узк, без обточки</v>
      </c>
      <c r="G753" s="15">
        <f ca="1">IFERROR(__xludf.DUMMYFUNCTION("""COMPUTED_VALUE"""),0.59)</f>
        <v>0.59</v>
      </c>
      <c r="H753" s="15"/>
      <c r="I753" s="16">
        <f ca="1">IFERROR(__xludf.DUMMYFUNCTION("""COMPUTED_VALUE"""),585000)</f>
        <v>585000</v>
      </c>
    </row>
    <row r="754" spans="2:9" x14ac:dyDescent="0.3">
      <c r="B754" s="12" t="str">
        <f ca="1">IFERROR(__xludf.DUMMYFUNCTION("""COMPUTED_VALUE"""),"круг ков")</f>
        <v>круг ков</v>
      </c>
      <c r="C754" s="7" t="str">
        <f ca="1">IFERROR(__xludf.DUMMYFUNCTION("""COMPUTED_VALUE"""),"14Х17Н2")</f>
        <v>14Х17Н2</v>
      </c>
      <c r="D754" s="13">
        <f ca="1">IFERROR(__xludf.DUMMYFUNCTION("""COMPUTED_VALUE"""),300)</f>
        <v>300</v>
      </c>
      <c r="E754" s="13"/>
      <c r="F754" s="14" t="str">
        <f ca="1">IFERROR(__xludf.DUMMYFUNCTION("""COMPUTED_VALUE"""),"УЗК обточка")</f>
        <v>УЗК обточка</v>
      </c>
      <c r="G754" s="15">
        <f ca="1">IFERROR(__xludf.DUMMYFUNCTION("""COMPUTED_VALUE"""),0.025)</f>
        <v>2.5000000000000001E-2</v>
      </c>
      <c r="H754" s="15"/>
      <c r="I754" s="16">
        <f ca="1">IFERROR(__xludf.DUMMYFUNCTION("""COMPUTED_VALUE"""),585000)</f>
        <v>585000</v>
      </c>
    </row>
    <row r="755" spans="2:9" x14ac:dyDescent="0.3">
      <c r="B755" s="12" t="str">
        <f ca="1">IFERROR(__xludf.DUMMYFUNCTION("""COMPUTED_VALUE"""),"круг ков")</f>
        <v>круг ков</v>
      </c>
      <c r="C755" s="7" t="str">
        <f ca="1">IFERROR(__xludf.DUMMYFUNCTION("""COMPUTED_VALUE"""),"14Х17Н2")</f>
        <v>14Х17Н2</v>
      </c>
      <c r="D755" s="13">
        <f ca="1">IFERROR(__xludf.DUMMYFUNCTION("""COMPUTED_VALUE"""),350)</f>
        <v>350</v>
      </c>
      <c r="E755" s="13"/>
      <c r="F755" s="14" t="str">
        <f ca="1">IFERROR(__xludf.DUMMYFUNCTION("""COMPUTED_VALUE"""),"УЗК обточка")</f>
        <v>УЗК обточка</v>
      </c>
      <c r="G755" s="15">
        <f ca="1">IFERROR(__xludf.DUMMYFUNCTION("""COMPUTED_VALUE"""),0.071)</f>
        <v>7.0999999999999994E-2</v>
      </c>
      <c r="H755" s="15"/>
      <c r="I755" s="16">
        <f ca="1">IFERROR(__xludf.DUMMYFUNCTION("""COMPUTED_VALUE"""),585000)</f>
        <v>585000</v>
      </c>
    </row>
    <row r="756" spans="2:9" x14ac:dyDescent="0.3">
      <c r="B756" s="12" t="str">
        <f ca="1">IFERROR(__xludf.DUMMYFUNCTION("""COMPUTED_VALUE"""),"круг ков")</f>
        <v>круг ков</v>
      </c>
      <c r="C756" s="7" t="str">
        <f ca="1">IFERROR(__xludf.DUMMYFUNCTION("""COMPUTED_VALUE"""),"14Х17Н2")</f>
        <v>14Х17Н2</v>
      </c>
      <c r="D756" s="13">
        <f ca="1">IFERROR(__xludf.DUMMYFUNCTION("""COMPUTED_VALUE"""),400)</f>
        <v>400</v>
      </c>
      <c r="E756" s="13"/>
      <c r="F756" s="14" t="str">
        <f ca="1">IFERROR(__xludf.DUMMYFUNCTION("""COMPUTED_VALUE"""),"узк, без обточки")</f>
        <v>узк, без обточки</v>
      </c>
      <c r="G756" s="15">
        <f ca="1">IFERROR(__xludf.DUMMYFUNCTION("""COMPUTED_VALUE"""),1.23899999999999)</f>
        <v>1.2389999999999901</v>
      </c>
      <c r="H756" s="15"/>
      <c r="I756" s="16">
        <f ca="1">IFERROR(__xludf.DUMMYFUNCTION("""COMPUTED_VALUE"""),585000)</f>
        <v>585000</v>
      </c>
    </row>
    <row r="757" spans="2:9" x14ac:dyDescent="0.3">
      <c r="B757" s="12" t="str">
        <f ca="1">IFERROR(__xludf.DUMMYFUNCTION("""COMPUTED_VALUE"""),"круг ков")</f>
        <v>круг ков</v>
      </c>
      <c r="C757" s="7" t="str">
        <f ca="1">IFERROR(__xludf.DUMMYFUNCTION("""COMPUTED_VALUE"""),"14Х17Н2")</f>
        <v>14Х17Н2</v>
      </c>
      <c r="D757" s="13">
        <f ca="1">IFERROR(__xludf.DUMMYFUNCTION("""COMPUTED_VALUE"""),400)</f>
        <v>400</v>
      </c>
      <c r="E757" s="13"/>
      <c r="F757" s="14" t="str">
        <f ca="1">IFERROR(__xludf.DUMMYFUNCTION("""COMPUTED_VALUE"""),"узк, без обточки")</f>
        <v>узк, без обточки</v>
      </c>
      <c r="G757" s="15">
        <f ca="1">IFERROR(__xludf.DUMMYFUNCTION("""COMPUTED_VALUE"""),1.86)</f>
        <v>1.86</v>
      </c>
      <c r="H757" s="15"/>
      <c r="I757" s="16">
        <f ca="1">IFERROR(__xludf.DUMMYFUNCTION("""COMPUTED_VALUE"""),585000)</f>
        <v>585000</v>
      </c>
    </row>
    <row r="758" spans="2:9" x14ac:dyDescent="0.3">
      <c r="B758" s="12" t="str">
        <f ca="1">IFERROR(__xludf.DUMMYFUNCTION("""COMPUTED_VALUE"""),"круг")</f>
        <v>круг</v>
      </c>
      <c r="C758" s="7" t="str">
        <f ca="1">IFERROR(__xludf.DUMMYFUNCTION("""COMPUTED_VALUE"""),"ХВГ")</f>
        <v>ХВГ</v>
      </c>
      <c r="D758" s="13">
        <f ca="1">IFERROR(__xludf.DUMMYFUNCTION("""COMPUTED_VALUE"""),10)</f>
        <v>10</v>
      </c>
      <c r="E758" s="13"/>
      <c r="F758" s="14" t="str">
        <f ca="1">IFERROR(__xludf.DUMMYFUNCTION("""COMPUTED_VALUE"""),"3ГП ГОСТ 5950/2590 отжиг")</f>
        <v>3ГП ГОСТ 5950/2590 отжиг</v>
      </c>
      <c r="G758" s="15">
        <f ca="1">IFERROR(__xludf.DUMMYFUNCTION("""COMPUTED_VALUE"""),0.43)</f>
        <v>0.43</v>
      </c>
      <c r="H758" s="15"/>
      <c r="I758" s="16">
        <f ca="1">IFERROR(__xludf.DUMMYFUNCTION("""COMPUTED_VALUE"""),530000)</f>
        <v>530000</v>
      </c>
    </row>
    <row r="759" spans="2:9" x14ac:dyDescent="0.3">
      <c r="B759" s="12" t="str">
        <f ca="1">IFERROR(__xludf.DUMMYFUNCTION("""COMPUTED_VALUE"""),"круг")</f>
        <v>круг</v>
      </c>
      <c r="C759" s="7" t="str">
        <f ca="1">IFERROR(__xludf.DUMMYFUNCTION("""COMPUTED_VALUE"""),"ХВГ")</f>
        <v>ХВГ</v>
      </c>
      <c r="D759" s="13">
        <f ca="1">IFERROR(__xludf.DUMMYFUNCTION("""COMPUTED_VALUE"""),12)</f>
        <v>12</v>
      </c>
      <c r="E759" s="13"/>
      <c r="F759" s="14" t="str">
        <f ca="1">IFERROR(__xludf.DUMMYFUNCTION("""COMPUTED_VALUE"""),"3ГП ГОСТ 5950/2590 отжиг")</f>
        <v>3ГП ГОСТ 5950/2590 отжиг</v>
      </c>
      <c r="G759" s="15">
        <f ca="1">IFERROR(__xludf.DUMMYFUNCTION("""COMPUTED_VALUE"""),0.165)</f>
        <v>0.16500000000000001</v>
      </c>
      <c r="H759" s="15"/>
      <c r="I759" s="16">
        <f ca="1">IFERROR(__xludf.DUMMYFUNCTION("""COMPUTED_VALUE"""),530000)</f>
        <v>530000</v>
      </c>
    </row>
    <row r="760" spans="2:9" x14ac:dyDescent="0.3">
      <c r="B760" s="12" t="str">
        <f ca="1">IFERROR(__xludf.DUMMYFUNCTION("""COMPUTED_VALUE"""),"круг")</f>
        <v>круг</v>
      </c>
      <c r="C760" s="7" t="str">
        <f ca="1">IFERROR(__xludf.DUMMYFUNCTION("""COMPUTED_VALUE"""),"ХВГ")</f>
        <v>ХВГ</v>
      </c>
      <c r="D760" s="13">
        <f ca="1">IFERROR(__xludf.DUMMYFUNCTION("""COMPUTED_VALUE"""),12)</f>
        <v>12</v>
      </c>
      <c r="E760" s="13"/>
      <c r="F760" s="14" t="str">
        <f ca="1">IFERROR(__xludf.DUMMYFUNCTION("""COMPUTED_VALUE"""),"3ГП ГОСТ 5950/2590 отжиг")</f>
        <v>3ГП ГОСТ 5950/2590 отжиг</v>
      </c>
      <c r="G760" s="15">
        <f ca="1">IFERROR(__xludf.DUMMYFUNCTION("""COMPUTED_VALUE"""),0.24)</f>
        <v>0.24</v>
      </c>
      <c r="H760" s="15"/>
      <c r="I760" s="16">
        <f ca="1">IFERROR(__xludf.DUMMYFUNCTION("""COMPUTED_VALUE"""),530000)</f>
        <v>530000</v>
      </c>
    </row>
    <row r="761" spans="2:9" x14ac:dyDescent="0.3">
      <c r="B761" s="12" t="str">
        <f ca="1">IFERROR(__xludf.DUMMYFUNCTION("""COMPUTED_VALUE"""),"круг")</f>
        <v>круг</v>
      </c>
      <c r="C761" s="7" t="str">
        <f ca="1">IFERROR(__xludf.DUMMYFUNCTION("""COMPUTED_VALUE"""),"ХВГ")</f>
        <v>ХВГ</v>
      </c>
      <c r="D761" s="13">
        <f ca="1">IFERROR(__xludf.DUMMYFUNCTION("""COMPUTED_VALUE"""),16)</f>
        <v>16</v>
      </c>
      <c r="E761" s="13"/>
      <c r="F761" s="14" t="str">
        <f ca="1">IFERROR(__xludf.DUMMYFUNCTION("""COMPUTED_VALUE"""),"3ГП ГОСТ 5950/2590 отжиг")</f>
        <v>3ГП ГОСТ 5950/2590 отжиг</v>
      </c>
      <c r="G761" s="15">
        <f ca="1">IFERROR(__xludf.DUMMYFUNCTION("""COMPUTED_VALUE"""),0.743)</f>
        <v>0.74299999999999999</v>
      </c>
      <c r="H761" s="15"/>
      <c r="I761" s="16">
        <f ca="1">IFERROR(__xludf.DUMMYFUNCTION("""COMPUTED_VALUE"""),530000)</f>
        <v>530000</v>
      </c>
    </row>
    <row r="762" spans="2:9" x14ac:dyDescent="0.3">
      <c r="B762" s="12" t="str">
        <f ca="1">IFERROR(__xludf.DUMMYFUNCTION("""COMPUTED_VALUE"""),"круг")</f>
        <v>круг</v>
      </c>
      <c r="C762" s="7" t="str">
        <f ca="1">IFERROR(__xludf.DUMMYFUNCTION("""COMPUTED_VALUE"""),"ХВГ")</f>
        <v>ХВГ</v>
      </c>
      <c r="D762" s="13">
        <f ca="1">IFERROR(__xludf.DUMMYFUNCTION("""COMPUTED_VALUE"""),20)</f>
        <v>20</v>
      </c>
      <c r="E762" s="13"/>
      <c r="F762" s="14" t="str">
        <f ca="1">IFERROR(__xludf.DUMMYFUNCTION("""COMPUTED_VALUE"""),"2ГП ГОСТ 5950/2590 отжиг")</f>
        <v>2ГП ГОСТ 5950/2590 отжиг</v>
      </c>
      <c r="G762" s="15">
        <f ca="1">IFERROR(__xludf.DUMMYFUNCTION("""COMPUTED_VALUE"""),0.265999999999999)</f>
        <v>0.26599999999999902</v>
      </c>
      <c r="H762" s="15"/>
      <c r="I762" s="16">
        <f ca="1">IFERROR(__xludf.DUMMYFUNCTION("""COMPUTED_VALUE"""),530000)</f>
        <v>530000</v>
      </c>
    </row>
    <row r="763" spans="2:9" x14ac:dyDescent="0.3">
      <c r="B763" s="12" t="str">
        <f ca="1">IFERROR(__xludf.DUMMYFUNCTION("""COMPUTED_VALUE"""),"круг")</f>
        <v>круг</v>
      </c>
      <c r="C763" s="7" t="str">
        <f ca="1">IFERROR(__xludf.DUMMYFUNCTION("""COMPUTED_VALUE"""),"ХВГ")</f>
        <v>ХВГ</v>
      </c>
      <c r="D763" s="13">
        <f ca="1">IFERROR(__xludf.DUMMYFUNCTION("""COMPUTED_VALUE"""),20)</f>
        <v>20</v>
      </c>
      <c r="E763" s="13"/>
      <c r="F763" s="14" t="str">
        <f ca="1">IFERROR(__xludf.DUMMYFUNCTION("""COMPUTED_VALUE"""),"2ГП ГОСТ 5950/2590 отжиг")</f>
        <v>2ГП ГОСТ 5950/2590 отжиг</v>
      </c>
      <c r="G763" s="15">
        <f ca="1">IFERROR(__xludf.DUMMYFUNCTION("""COMPUTED_VALUE"""),0.38)</f>
        <v>0.38</v>
      </c>
      <c r="H763" s="15"/>
      <c r="I763" s="16">
        <f ca="1">IFERROR(__xludf.DUMMYFUNCTION("""COMPUTED_VALUE"""),530000)</f>
        <v>530000</v>
      </c>
    </row>
    <row r="764" spans="2:9" x14ac:dyDescent="0.3">
      <c r="B764" s="12" t="str">
        <f ca="1">IFERROR(__xludf.DUMMYFUNCTION("""COMPUTED_VALUE"""),"круг")</f>
        <v>круг</v>
      </c>
      <c r="C764" s="7" t="str">
        <f ca="1">IFERROR(__xludf.DUMMYFUNCTION("""COMPUTED_VALUE"""),"ХВГ")</f>
        <v>ХВГ</v>
      </c>
      <c r="D764" s="13">
        <f ca="1">IFERROR(__xludf.DUMMYFUNCTION("""COMPUTED_VALUE"""),20)</f>
        <v>20</v>
      </c>
      <c r="E764" s="13"/>
      <c r="F764" s="14" t="str">
        <f ca="1">IFERROR(__xludf.DUMMYFUNCTION("""COMPUTED_VALUE"""),"3ГП ГОСТ 5950/2590 отжиг")</f>
        <v>3ГП ГОСТ 5950/2590 отжиг</v>
      </c>
      <c r="G764" s="15">
        <f ca="1">IFERROR(__xludf.DUMMYFUNCTION("""COMPUTED_VALUE"""),0.942)</f>
        <v>0.94199999999999995</v>
      </c>
      <c r="H764" s="15"/>
      <c r="I764" s="16">
        <f ca="1">IFERROR(__xludf.DUMMYFUNCTION("""COMPUTED_VALUE"""),530000)</f>
        <v>530000</v>
      </c>
    </row>
    <row r="765" spans="2:9" x14ac:dyDescent="0.3">
      <c r="B765" s="12" t="str">
        <f ca="1">IFERROR(__xludf.DUMMYFUNCTION("""COMPUTED_VALUE"""),"круг")</f>
        <v>круг</v>
      </c>
      <c r="C765" s="7" t="str">
        <f ca="1">IFERROR(__xludf.DUMMYFUNCTION("""COMPUTED_VALUE"""),"ХВГ")</f>
        <v>ХВГ</v>
      </c>
      <c r="D765" s="13">
        <f ca="1">IFERROR(__xludf.DUMMYFUNCTION("""COMPUTED_VALUE"""),22)</f>
        <v>22</v>
      </c>
      <c r="E765" s="13"/>
      <c r="F765" s="14" t="str">
        <f ca="1">IFERROR(__xludf.DUMMYFUNCTION("""COMPUTED_VALUE"""),"3ГП ГОСТ 5950/2590 отжиг")</f>
        <v>3ГП ГОСТ 5950/2590 отжиг</v>
      </c>
      <c r="G765" s="15">
        <f ca="1">IFERROR(__xludf.DUMMYFUNCTION("""COMPUTED_VALUE"""),0.403)</f>
        <v>0.40300000000000002</v>
      </c>
      <c r="H765" s="15"/>
      <c r="I765" s="16">
        <f ca="1">IFERROR(__xludf.DUMMYFUNCTION("""COMPUTED_VALUE"""),530000)</f>
        <v>530000</v>
      </c>
    </row>
    <row r="766" spans="2:9" x14ac:dyDescent="0.3">
      <c r="B766" s="12" t="str">
        <f ca="1">IFERROR(__xludf.DUMMYFUNCTION("""COMPUTED_VALUE"""),"круг")</f>
        <v>круг</v>
      </c>
      <c r="C766" s="7" t="str">
        <f ca="1">IFERROR(__xludf.DUMMYFUNCTION("""COMPUTED_VALUE"""),"ХВГ")</f>
        <v>ХВГ</v>
      </c>
      <c r="D766" s="13">
        <f ca="1">IFERROR(__xludf.DUMMYFUNCTION("""COMPUTED_VALUE"""),22)</f>
        <v>22</v>
      </c>
      <c r="E766" s="13"/>
      <c r="F766" s="14" t="str">
        <f ca="1">IFERROR(__xludf.DUMMYFUNCTION("""COMPUTED_VALUE"""),"3ГП ГОСТ 5950/2590 отжиг")</f>
        <v>3ГП ГОСТ 5950/2590 отжиг</v>
      </c>
      <c r="G766" s="15">
        <f ca="1">IFERROR(__xludf.DUMMYFUNCTION("""COMPUTED_VALUE"""),0.21)</f>
        <v>0.21</v>
      </c>
      <c r="H766" s="15"/>
      <c r="I766" s="16">
        <f ca="1">IFERROR(__xludf.DUMMYFUNCTION("""COMPUTED_VALUE"""),530000)</f>
        <v>530000</v>
      </c>
    </row>
    <row r="767" spans="2:9" x14ac:dyDescent="0.3">
      <c r="B767" s="12" t="str">
        <f ca="1">IFERROR(__xludf.DUMMYFUNCTION("""COMPUTED_VALUE"""),"круг")</f>
        <v>круг</v>
      </c>
      <c r="C767" s="7" t="str">
        <f ca="1">IFERROR(__xludf.DUMMYFUNCTION("""COMPUTED_VALUE"""),"ХВГ")</f>
        <v>ХВГ</v>
      </c>
      <c r="D767" s="13">
        <f ca="1">IFERROR(__xludf.DUMMYFUNCTION("""COMPUTED_VALUE"""),25)</f>
        <v>25</v>
      </c>
      <c r="E767" s="13"/>
      <c r="F767" s="14" t="str">
        <f ca="1">IFERROR(__xludf.DUMMYFUNCTION("""COMPUTED_VALUE"""),"2ГП ГОСТ 5950/2590 отжиг")</f>
        <v>2ГП ГОСТ 5950/2590 отжиг</v>
      </c>
      <c r="G767" s="15">
        <f ca="1">IFERROR(__xludf.DUMMYFUNCTION("""COMPUTED_VALUE"""),0.614)</f>
        <v>0.61399999999999999</v>
      </c>
      <c r="H767" s="15"/>
      <c r="I767" s="16">
        <f ca="1">IFERROR(__xludf.DUMMYFUNCTION("""COMPUTED_VALUE"""),530000)</f>
        <v>530000</v>
      </c>
    </row>
    <row r="768" spans="2:9" x14ac:dyDescent="0.3">
      <c r="B768" s="12" t="str">
        <f ca="1">IFERROR(__xludf.DUMMYFUNCTION("""COMPUTED_VALUE"""),"круг")</f>
        <v>круг</v>
      </c>
      <c r="C768" s="7" t="str">
        <f ca="1">IFERROR(__xludf.DUMMYFUNCTION("""COMPUTED_VALUE"""),"ХВГ")</f>
        <v>ХВГ</v>
      </c>
      <c r="D768" s="13">
        <f ca="1">IFERROR(__xludf.DUMMYFUNCTION("""COMPUTED_VALUE"""),28)</f>
        <v>28</v>
      </c>
      <c r="E768" s="13"/>
      <c r="F768" s="14" t="str">
        <f ca="1">IFERROR(__xludf.DUMMYFUNCTION("""COMPUTED_VALUE"""),"2ГП ГОСТ 5950/2590 отжиг")</f>
        <v>2ГП ГОСТ 5950/2590 отжиг</v>
      </c>
      <c r="G768" s="15">
        <f ca="1">IFERROR(__xludf.DUMMYFUNCTION("""COMPUTED_VALUE"""),0.722)</f>
        <v>0.72199999999999998</v>
      </c>
      <c r="H768" s="15"/>
      <c r="I768" s="16">
        <f ca="1">IFERROR(__xludf.DUMMYFUNCTION("""COMPUTED_VALUE"""),530000)</f>
        <v>530000</v>
      </c>
    </row>
    <row r="769" spans="2:9" x14ac:dyDescent="0.3">
      <c r="B769" s="12" t="str">
        <f ca="1">IFERROR(__xludf.DUMMYFUNCTION("""COMPUTED_VALUE"""),"круг")</f>
        <v>круг</v>
      </c>
      <c r="C769" s="7" t="str">
        <f ca="1">IFERROR(__xludf.DUMMYFUNCTION("""COMPUTED_VALUE"""),"ХВГ")</f>
        <v>ХВГ</v>
      </c>
      <c r="D769" s="13">
        <f ca="1">IFERROR(__xludf.DUMMYFUNCTION("""COMPUTED_VALUE"""),30)</f>
        <v>30</v>
      </c>
      <c r="E769" s="13"/>
      <c r="F769" s="14" t="str">
        <f ca="1">IFERROR(__xludf.DUMMYFUNCTION("""COMPUTED_VALUE"""),"3ГП ГОСТ 5950/2590 отжиг")</f>
        <v>3ГП ГОСТ 5950/2590 отжиг</v>
      </c>
      <c r="G769" s="15">
        <f ca="1">IFERROR(__xludf.DUMMYFUNCTION("""COMPUTED_VALUE"""),0.66)</f>
        <v>0.66</v>
      </c>
      <c r="H769" s="15"/>
      <c r="I769" s="16">
        <f ca="1">IFERROR(__xludf.DUMMYFUNCTION("""COMPUTED_VALUE"""),420000)</f>
        <v>420000</v>
      </c>
    </row>
    <row r="770" spans="2:9" x14ac:dyDescent="0.3">
      <c r="B770" s="12" t="str">
        <f ca="1">IFERROR(__xludf.DUMMYFUNCTION("""COMPUTED_VALUE"""),"круг")</f>
        <v>круг</v>
      </c>
      <c r="C770" s="7" t="str">
        <f ca="1">IFERROR(__xludf.DUMMYFUNCTION("""COMPUTED_VALUE"""),"ХВГ")</f>
        <v>ХВГ</v>
      </c>
      <c r="D770" s="13">
        <f ca="1">IFERROR(__xludf.DUMMYFUNCTION("""COMPUTED_VALUE"""),32)</f>
        <v>32</v>
      </c>
      <c r="E770" s="13"/>
      <c r="F770" s="14" t="str">
        <f ca="1">IFERROR(__xludf.DUMMYFUNCTION("""COMPUTED_VALUE"""),"2ГП ГОСТ 5950/2590 отжиг")</f>
        <v>2ГП ГОСТ 5950/2590 отжиг</v>
      </c>
      <c r="G770" s="15">
        <f ca="1">IFERROR(__xludf.DUMMYFUNCTION("""COMPUTED_VALUE"""),0.828)</f>
        <v>0.82799999999999996</v>
      </c>
      <c r="H770" s="15"/>
      <c r="I770" s="16">
        <f ca="1">IFERROR(__xludf.DUMMYFUNCTION("""COMPUTED_VALUE"""),420000)</f>
        <v>420000</v>
      </c>
    </row>
    <row r="771" spans="2:9" x14ac:dyDescent="0.3">
      <c r="B771" s="12" t="str">
        <f ca="1">IFERROR(__xludf.DUMMYFUNCTION("""COMPUTED_VALUE"""),"круг")</f>
        <v>круг</v>
      </c>
      <c r="C771" s="7" t="str">
        <f ca="1">IFERROR(__xludf.DUMMYFUNCTION("""COMPUTED_VALUE"""),"ХВГ")</f>
        <v>ХВГ</v>
      </c>
      <c r="D771" s="13">
        <f ca="1">IFERROR(__xludf.DUMMYFUNCTION("""COMPUTED_VALUE"""),36)</f>
        <v>36</v>
      </c>
      <c r="E771" s="13"/>
      <c r="F771" s="14" t="str">
        <f ca="1">IFERROR(__xludf.DUMMYFUNCTION("""COMPUTED_VALUE"""),"2ГП ГОСТ 5950/2590 отжиг")</f>
        <v>2ГП ГОСТ 5950/2590 отжиг</v>
      </c>
      <c r="G771" s="15">
        <f ca="1">IFERROR(__xludf.DUMMYFUNCTION("""COMPUTED_VALUE"""),0.369)</f>
        <v>0.36899999999999999</v>
      </c>
      <c r="H771" s="15"/>
      <c r="I771" s="16">
        <f ca="1">IFERROR(__xludf.DUMMYFUNCTION("""COMPUTED_VALUE"""),420000)</f>
        <v>420000</v>
      </c>
    </row>
    <row r="772" spans="2:9" x14ac:dyDescent="0.3">
      <c r="B772" s="12" t="str">
        <f ca="1">IFERROR(__xludf.DUMMYFUNCTION("""COMPUTED_VALUE"""),"круг")</f>
        <v>круг</v>
      </c>
      <c r="C772" s="7" t="str">
        <f ca="1">IFERROR(__xludf.DUMMYFUNCTION("""COMPUTED_VALUE"""),"ХВГ")</f>
        <v>ХВГ</v>
      </c>
      <c r="D772" s="13">
        <f ca="1">IFERROR(__xludf.DUMMYFUNCTION("""COMPUTED_VALUE"""),50)</f>
        <v>50</v>
      </c>
      <c r="E772" s="13"/>
      <c r="F772" s="14" t="str">
        <f ca="1">IFERROR(__xludf.DUMMYFUNCTION("""COMPUTED_VALUE"""),"2ГП ГОСТ 5950/2590 отжиг")</f>
        <v>2ГП ГОСТ 5950/2590 отжиг</v>
      </c>
      <c r="G772" s="15">
        <f ca="1">IFERROR(__xludf.DUMMYFUNCTION("""COMPUTED_VALUE"""),0.019)</f>
        <v>1.9E-2</v>
      </c>
      <c r="H772" s="15"/>
      <c r="I772" s="16">
        <f ca="1">IFERROR(__xludf.DUMMYFUNCTION("""COMPUTED_VALUE"""),420000)</f>
        <v>420000</v>
      </c>
    </row>
    <row r="773" spans="2:9" x14ac:dyDescent="0.3">
      <c r="B773" s="12" t="str">
        <f ca="1">IFERROR(__xludf.DUMMYFUNCTION("""COMPUTED_VALUE"""),"круг")</f>
        <v>круг</v>
      </c>
      <c r="C773" s="7" t="str">
        <f ca="1">IFERROR(__xludf.DUMMYFUNCTION("""COMPUTED_VALUE"""),"ХВГ")</f>
        <v>ХВГ</v>
      </c>
      <c r="D773" s="13">
        <f ca="1">IFERROR(__xludf.DUMMYFUNCTION("""COMPUTED_VALUE"""),60)</f>
        <v>60</v>
      </c>
      <c r="E773" s="13"/>
      <c r="F773" s="14" t="str">
        <f ca="1">IFERROR(__xludf.DUMMYFUNCTION("""COMPUTED_VALUE"""),"2ГП ГОСТ 5950/2590 отжиг")</f>
        <v>2ГП ГОСТ 5950/2590 отжиг</v>
      </c>
      <c r="G773" s="15">
        <f ca="1">IFERROR(__xludf.DUMMYFUNCTION("""COMPUTED_VALUE"""),0.433)</f>
        <v>0.433</v>
      </c>
      <c r="H773" s="15"/>
      <c r="I773" s="16">
        <f ca="1">IFERROR(__xludf.DUMMYFUNCTION("""COMPUTED_VALUE"""),420000)</f>
        <v>420000</v>
      </c>
    </row>
    <row r="774" spans="2:9" x14ac:dyDescent="0.3">
      <c r="B774" s="12" t="str">
        <f ca="1">IFERROR(__xludf.DUMMYFUNCTION("""COMPUTED_VALUE"""),"круг")</f>
        <v>круг</v>
      </c>
      <c r="C774" s="7" t="str">
        <f ca="1">IFERROR(__xludf.DUMMYFUNCTION("""COMPUTED_VALUE"""),"ХВГ")</f>
        <v>ХВГ</v>
      </c>
      <c r="D774" s="13">
        <f ca="1">IFERROR(__xludf.DUMMYFUNCTION("""COMPUTED_VALUE"""),65)</f>
        <v>65</v>
      </c>
      <c r="E774" s="13"/>
      <c r="F774" s="14" t="str">
        <f ca="1">IFERROR(__xludf.DUMMYFUNCTION("""COMPUTED_VALUE"""),"2ГП ГОСТ 5950/2590 отжиг")</f>
        <v>2ГП ГОСТ 5950/2590 отжиг</v>
      </c>
      <c r="G774" s="15">
        <f ca="1">IFERROR(__xludf.DUMMYFUNCTION("""COMPUTED_VALUE"""),1.50699999999999)</f>
        <v>1.5069999999999899</v>
      </c>
      <c r="H774" s="15"/>
      <c r="I774" s="16">
        <f ca="1">IFERROR(__xludf.DUMMYFUNCTION("""COMPUTED_VALUE"""),420000)</f>
        <v>420000</v>
      </c>
    </row>
    <row r="775" spans="2:9" x14ac:dyDescent="0.3">
      <c r="B775" s="12" t="str">
        <f ca="1">IFERROR(__xludf.DUMMYFUNCTION("""COMPUTED_VALUE"""),"круг")</f>
        <v>круг</v>
      </c>
      <c r="C775" s="7" t="str">
        <f ca="1">IFERROR(__xludf.DUMMYFUNCTION("""COMPUTED_VALUE"""),"ХВГ")</f>
        <v>ХВГ</v>
      </c>
      <c r="D775" s="13">
        <f ca="1">IFERROR(__xludf.DUMMYFUNCTION("""COMPUTED_VALUE"""),65)</f>
        <v>65</v>
      </c>
      <c r="E775" s="13"/>
      <c r="F775" s="14" t="str">
        <f ca="1">IFERROR(__xludf.DUMMYFUNCTION("""COMPUTED_VALUE"""),"2ГП ГОСТ 5950/2590")</f>
        <v>2ГП ГОСТ 5950/2590</v>
      </c>
      <c r="G775" s="15">
        <f ca="1">IFERROR(__xludf.DUMMYFUNCTION("""COMPUTED_VALUE"""),1.462)</f>
        <v>1.462</v>
      </c>
      <c r="H775" s="15"/>
      <c r="I775" s="16">
        <f ca="1">IFERROR(__xludf.DUMMYFUNCTION("""COMPUTED_VALUE"""),420000)</f>
        <v>420000</v>
      </c>
    </row>
    <row r="776" spans="2:9" x14ac:dyDescent="0.3">
      <c r="B776" s="12" t="str">
        <f ca="1">IFERROR(__xludf.DUMMYFUNCTION("""COMPUTED_VALUE"""),"круг")</f>
        <v>круг</v>
      </c>
      <c r="C776" s="7" t="str">
        <f ca="1">IFERROR(__xludf.DUMMYFUNCTION("""COMPUTED_VALUE"""),"ХВГ")</f>
        <v>ХВГ</v>
      </c>
      <c r="D776" s="13">
        <f ca="1">IFERROR(__xludf.DUMMYFUNCTION("""COMPUTED_VALUE"""),80)</f>
        <v>80</v>
      </c>
      <c r="E776" s="13"/>
      <c r="F776" s="14" t="str">
        <f ca="1">IFERROR(__xludf.DUMMYFUNCTION("""COMPUTED_VALUE"""),"2ГП ГОСТ 5950/2590 отжиг")</f>
        <v>2ГП ГОСТ 5950/2590 отжиг</v>
      </c>
      <c r="G776" s="15">
        <f ca="1">IFERROR(__xludf.DUMMYFUNCTION("""COMPUTED_VALUE"""),0.0729999999999999)</f>
        <v>7.2999999999999898E-2</v>
      </c>
      <c r="H776" s="15"/>
      <c r="I776" s="16">
        <f ca="1">IFERROR(__xludf.DUMMYFUNCTION("""COMPUTED_VALUE"""),420000)</f>
        <v>420000</v>
      </c>
    </row>
    <row r="777" spans="2:9" x14ac:dyDescent="0.3">
      <c r="B777" s="12" t="str">
        <f ca="1">IFERROR(__xludf.DUMMYFUNCTION("""COMPUTED_VALUE"""),"круг")</f>
        <v>круг</v>
      </c>
      <c r="C777" s="7" t="str">
        <f ca="1">IFERROR(__xludf.DUMMYFUNCTION("""COMPUTED_VALUE"""),"ХВГ")</f>
        <v>ХВГ</v>
      </c>
      <c r="D777" s="13">
        <f ca="1">IFERROR(__xludf.DUMMYFUNCTION("""COMPUTED_VALUE"""),80)</f>
        <v>80</v>
      </c>
      <c r="E777" s="13"/>
      <c r="F777" s="14" t="str">
        <f ca="1">IFERROR(__xludf.DUMMYFUNCTION("""COMPUTED_VALUE"""),"2ГП ГОСТ 5950/2590 отжиг")</f>
        <v>2ГП ГОСТ 5950/2590 отжиг</v>
      </c>
      <c r="G777" s="15">
        <f ca="1">IFERROR(__xludf.DUMMYFUNCTION("""COMPUTED_VALUE"""),0.655)</f>
        <v>0.65500000000000003</v>
      </c>
      <c r="H777" s="15"/>
      <c r="I777" s="16">
        <f ca="1">IFERROR(__xludf.DUMMYFUNCTION("""COMPUTED_VALUE"""),420000)</f>
        <v>420000</v>
      </c>
    </row>
    <row r="778" spans="2:9" x14ac:dyDescent="0.3">
      <c r="B778" s="12" t="str">
        <f ca="1">IFERROR(__xludf.DUMMYFUNCTION("""COMPUTED_VALUE"""),"круг")</f>
        <v>круг</v>
      </c>
      <c r="C778" s="7" t="str">
        <f ca="1">IFERROR(__xludf.DUMMYFUNCTION("""COMPUTED_VALUE"""),"ХВГ")</f>
        <v>ХВГ</v>
      </c>
      <c r="D778" s="13">
        <f ca="1">IFERROR(__xludf.DUMMYFUNCTION("""COMPUTED_VALUE"""),80)</f>
        <v>80</v>
      </c>
      <c r="E778" s="13"/>
      <c r="F778" s="14" t="str">
        <f ca="1">IFERROR(__xludf.DUMMYFUNCTION("""COMPUTED_VALUE"""),"2ГП ГОСТ 5950/2590")</f>
        <v>2ГП ГОСТ 5950/2590</v>
      </c>
      <c r="G778" s="15">
        <f ca="1">IFERROR(__xludf.DUMMYFUNCTION("""COMPUTED_VALUE"""),0.858)</f>
        <v>0.85799999999999998</v>
      </c>
      <c r="H778" s="15"/>
      <c r="I778" s="16">
        <f ca="1">IFERROR(__xludf.DUMMYFUNCTION("""COMPUTED_VALUE"""),420000)</f>
        <v>420000</v>
      </c>
    </row>
    <row r="779" spans="2:9" x14ac:dyDescent="0.3">
      <c r="B779" s="12" t="str">
        <f ca="1">IFERROR(__xludf.DUMMYFUNCTION("""COMPUTED_VALUE"""),"круг")</f>
        <v>круг</v>
      </c>
      <c r="C779" s="7" t="str">
        <f ca="1">IFERROR(__xludf.DUMMYFUNCTION("""COMPUTED_VALUE"""),"ХВГ")</f>
        <v>ХВГ</v>
      </c>
      <c r="D779" s="13">
        <f ca="1">IFERROR(__xludf.DUMMYFUNCTION("""COMPUTED_VALUE"""),90)</f>
        <v>90</v>
      </c>
      <c r="E779" s="13"/>
      <c r="F779" s="14" t="str">
        <f ca="1">IFERROR(__xludf.DUMMYFUNCTION("""COMPUTED_VALUE"""),"2ГП ГОСТ 5950/2590 отжиг, обточка")</f>
        <v>2ГП ГОСТ 5950/2590 отжиг, обточка</v>
      </c>
      <c r="G779" s="15">
        <f ca="1">IFERROR(__xludf.DUMMYFUNCTION("""COMPUTED_VALUE"""),1.407)</f>
        <v>1.407</v>
      </c>
      <c r="H779" s="15"/>
      <c r="I779" s="16">
        <f ca="1">IFERROR(__xludf.DUMMYFUNCTION("""COMPUTED_VALUE"""),420000)</f>
        <v>420000</v>
      </c>
    </row>
    <row r="780" spans="2:9" x14ac:dyDescent="0.3">
      <c r="B780" s="12" t="str">
        <f ca="1">IFERROR(__xludf.DUMMYFUNCTION("""COMPUTED_VALUE"""),"круг")</f>
        <v>круг</v>
      </c>
      <c r="C780" s="7" t="str">
        <f ca="1">IFERROR(__xludf.DUMMYFUNCTION("""COMPUTED_VALUE"""),"ХВГ")</f>
        <v>ХВГ</v>
      </c>
      <c r="D780" s="13">
        <f ca="1">IFERROR(__xludf.DUMMYFUNCTION("""COMPUTED_VALUE"""),100)</f>
        <v>100</v>
      </c>
      <c r="E780" s="13"/>
      <c r="F780" s="14" t="str">
        <f ca="1">IFERROR(__xludf.DUMMYFUNCTION("""COMPUTED_VALUE"""),"2ГП ГОСТ 5950/2590 отжиг, обточка")</f>
        <v>2ГП ГОСТ 5950/2590 отжиг, обточка</v>
      </c>
      <c r="G780" s="15">
        <f ca="1">IFERROR(__xludf.DUMMYFUNCTION("""COMPUTED_VALUE"""),2.261)</f>
        <v>2.2610000000000001</v>
      </c>
      <c r="H780" s="15"/>
      <c r="I780" s="16">
        <f ca="1">IFERROR(__xludf.DUMMYFUNCTION("""COMPUTED_VALUE"""),420000)</f>
        <v>420000</v>
      </c>
    </row>
    <row r="781" spans="2:9" x14ac:dyDescent="0.3">
      <c r="B781" s="12" t="str">
        <f ca="1">IFERROR(__xludf.DUMMYFUNCTION("""COMPUTED_VALUE"""),"круг")</f>
        <v>круг</v>
      </c>
      <c r="C781" s="7" t="str">
        <f ca="1">IFERROR(__xludf.DUMMYFUNCTION("""COMPUTED_VALUE"""),"ХВГ")</f>
        <v>ХВГ</v>
      </c>
      <c r="D781" s="13">
        <f ca="1">IFERROR(__xludf.DUMMYFUNCTION("""COMPUTED_VALUE"""),110)</f>
        <v>110</v>
      </c>
      <c r="E781" s="13"/>
      <c r="F781" s="14" t="str">
        <f ca="1">IFERROR(__xludf.DUMMYFUNCTION("""COMPUTED_VALUE"""),"2ГП ГОСТ 5950/2590 отжиг, обточка")</f>
        <v>2ГП ГОСТ 5950/2590 отжиг, обточка</v>
      </c>
      <c r="G781" s="15">
        <f ca="1">IFERROR(__xludf.DUMMYFUNCTION("""COMPUTED_VALUE"""),0.457)</f>
        <v>0.45700000000000002</v>
      </c>
      <c r="H781" s="15"/>
      <c r="I781" s="16">
        <f ca="1">IFERROR(__xludf.DUMMYFUNCTION("""COMPUTED_VALUE"""),420000)</f>
        <v>420000</v>
      </c>
    </row>
    <row r="782" spans="2:9" x14ac:dyDescent="0.3">
      <c r="B782" s="12" t="str">
        <f ca="1">IFERROR(__xludf.DUMMYFUNCTION("""COMPUTED_VALUE"""),"круг")</f>
        <v>круг</v>
      </c>
      <c r="C782" s="7" t="str">
        <f ca="1">IFERROR(__xludf.DUMMYFUNCTION("""COMPUTED_VALUE"""),"ХВГ")</f>
        <v>ХВГ</v>
      </c>
      <c r="D782" s="13">
        <f ca="1">IFERROR(__xludf.DUMMYFUNCTION("""COMPUTED_VALUE"""),120)</f>
        <v>120</v>
      </c>
      <c r="E782" s="13"/>
      <c r="F782" s="14" t="str">
        <f ca="1">IFERROR(__xludf.DUMMYFUNCTION("""COMPUTED_VALUE"""),"2ГП ГОСТ 5950/2590 отжиг, обточка")</f>
        <v>2ГП ГОСТ 5950/2590 отжиг, обточка</v>
      </c>
      <c r="G782" s="15">
        <f ca="1">IFERROR(__xludf.DUMMYFUNCTION("""COMPUTED_VALUE"""),0.881999999999999)</f>
        <v>0.88199999999999901</v>
      </c>
      <c r="H782" s="15"/>
      <c r="I782" s="16">
        <f ca="1">IFERROR(__xludf.DUMMYFUNCTION("""COMPUTED_VALUE"""),420000)</f>
        <v>420000</v>
      </c>
    </row>
    <row r="783" spans="2:9" x14ac:dyDescent="0.3">
      <c r="B783" s="12" t="str">
        <f ca="1">IFERROR(__xludf.DUMMYFUNCTION("""COMPUTED_VALUE"""),"круг")</f>
        <v>круг</v>
      </c>
      <c r="C783" s="7" t="str">
        <f ca="1">IFERROR(__xludf.DUMMYFUNCTION("""COMPUTED_VALUE"""),"ХВГ")</f>
        <v>ХВГ</v>
      </c>
      <c r="D783" s="13">
        <f ca="1">IFERROR(__xludf.DUMMYFUNCTION("""COMPUTED_VALUE"""),130)</f>
        <v>130</v>
      </c>
      <c r="E783" s="13"/>
      <c r="F783" s="14" t="str">
        <f ca="1">IFERROR(__xludf.DUMMYFUNCTION("""COMPUTED_VALUE"""),"2ГП ГОСТ 5950/2590 отжиг, обточка")</f>
        <v>2ГП ГОСТ 5950/2590 отжиг, обточка</v>
      </c>
      <c r="G783" s="15">
        <f ca="1">IFERROR(__xludf.DUMMYFUNCTION("""COMPUTED_VALUE"""),0.460999999999999)</f>
        <v>0.46099999999999902</v>
      </c>
      <c r="H783" s="15"/>
      <c r="I783" s="16">
        <f ca="1">IFERROR(__xludf.DUMMYFUNCTION("""COMPUTED_VALUE"""),420000)</f>
        <v>420000</v>
      </c>
    </row>
    <row r="784" spans="2:9" x14ac:dyDescent="0.3">
      <c r="B784" s="12" t="str">
        <f ca="1">IFERROR(__xludf.DUMMYFUNCTION("""COMPUTED_VALUE"""),"круг")</f>
        <v>круг</v>
      </c>
      <c r="C784" s="7" t="str">
        <f ca="1">IFERROR(__xludf.DUMMYFUNCTION("""COMPUTED_VALUE"""),"ХВГ")</f>
        <v>ХВГ</v>
      </c>
      <c r="D784" s="13">
        <f ca="1">IFERROR(__xludf.DUMMYFUNCTION("""COMPUTED_VALUE"""),140)</f>
        <v>140</v>
      </c>
      <c r="E784" s="13"/>
      <c r="F784" s="14" t="str">
        <f ca="1">IFERROR(__xludf.DUMMYFUNCTION("""COMPUTED_VALUE"""),"2ГП ГОСТ 5950/2590")</f>
        <v>2ГП ГОСТ 5950/2590</v>
      </c>
      <c r="G784" s="15">
        <f ca="1">IFERROR(__xludf.DUMMYFUNCTION("""COMPUTED_VALUE"""),3.811)</f>
        <v>3.8109999999999999</v>
      </c>
      <c r="H784" s="15"/>
      <c r="I784" s="16">
        <f ca="1">IFERROR(__xludf.DUMMYFUNCTION("""COMPUTED_VALUE"""),420000)</f>
        <v>420000</v>
      </c>
    </row>
    <row r="785" spans="2:9" x14ac:dyDescent="0.3">
      <c r="B785" s="12" t="str">
        <f ca="1">IFERROR(__xludf.DUMMYFUNCTION("""COMPUTED_VALUE"""),"круг")</f>
        <v>круг</v>
      </c>
      <c r="C785" s="7" t="str">
        <f ca="1">IFERROR(__xludf.DUMMYFUNCTION("""COMPUTED_VALUE"""),"ХВГ")</f>
        <v>ХВГ</v>
      </c>
      <c r="D785" s="13">
        <f ca="1">IFERROR(__xludf.DUMMYFUNCTION("""COMPUTED_VALUE"""),150)</f>
        <v>150</v>
      </c>
      <c r="E785" s="13"/>
      <c r="F785" s="14" t="str">
        <f ca="1">IFERROR(__xludf.DUMMYFUNCTION("""COMPUTED_VALUE"""),"2ГП ГОСТ 5950/2590")</f>
        <v>2ГП ГОСТ 5950/2590</v>
      </c>
      <c r="G785" s="15">
        <f ca="1">IFERROR(__xludf.DUMMYFUNCTION("""COMPUTED_VALUE"""),0.0679999999999996)</f>
        <v>6.7999999999999602E-2</v>
      </c>
      <c r="H785" s="15"/>
      <c r="I785" s="16">
        <f ca="1">IFERROR(__xludf.DUMMYFUNCTION("""COMPUTED_VALUE"""),420000)</f>
        <v>420000</v>
      </c>
    </row>
    <row r="786" spans="2:9" x14ac:dyDescent="0.3">
      <c r="B786" s="12" t="str">
        <f ca="1">IFERROR(__xludf.DUMMYFUNCTION("""COMPUTED_VALUE"""),"круг")</f>
        <v>круг</v>
      </c>
      <c r="C786" s="7" t="str">
        <f ca="1">IFERROR(__xludf.DUMMYFUNCTION("""COMPUTED_VALUE"""),"ХВГ")</f>
        <v>ХВГ</v>
      </c>
      <c r="D786" s="13">
        <f ca="1">IFERROR(__xludf.DUMMYFUNCTION("""COMPUTED_VALUE"""),150)</f>
        <v>150</v>
      </c>
      <c r="E786" s="13"/>
      <c r="F786" s="14" t="str">
        <f ca="1">IFERROR(__xludf.DUMMYFUNCTION("""COMPUTED_VALUE"""),"3ГП ГОСТ 5950/2590 отжиг")</f>
        <v>3ГП ГОСТ 5950/2590 отжиг</v>
      </c>
      <c r="G786" s="15">
        <f ca="1">IFERROR(__xludf.DUMMYFUNCTION("""COMPUTED_VALUE"""),0.279)</f>
        <v>0.27900000000000003</v>
      </c>
      <c r="H786" s="15"/>
      <c r="I786" s="16">
        <f ca="1">IFERROR(__xludf.DUMMYFUNCTION("""COMPUTED_VALUE"""),420000)</f>
        <v>420000</v>
      </c>
    </row>
    <row r="787" spans="2:9" x14ac:dyDescent="0.3">
      <c r="B787" s="12" t="str">
        <f ca="1">IFERROR(__xludf.DUMMYFUNCTION("""COMPUTED_VALUE"""),"круг")</f>
        <v>круг</v>
      </c>
      <c r="C787" s="7" t="str">
        <f ca="1">IFERROR(__xludf.DUMMYFUNCTION("""COMPUTED_VALUE"""),"ХВГ")</f>
        <v>ХВГ</v>
      </c>
      <c r="D787" s="13">
        <f ca="1">IFERROR(__xludf.DUMMYFUNCTION("""COMPUTED_VALUE"""),150)</f>
        <v>150</v>
      </c>
      <c r="E787" s="13"/>
      <c r="F787" s="14" t="str">
        <f ca="1">IFERROR(__xludf.DUMMYFUNCTION("""COMPUTED_VALUE"""),"3ГП ГОСТ 5950/2590 отжиг")</f>
        <v>3ГП ГОСТ 5950/2590 отжиг</v>
      </c>
      <c r="G787" s="15">
        <f ca="1">IFERROR(__xludf.DUMMYFUNCTION("""COMPUTED_VALUE"""),2.085)</f>
        <v>2.085</v>
      </c>
      <c r="H787" s="15"/>
      <c r="I787" s="16">
        <f ca="1">IFERROR(__xludf.DUMMYFUNCTION("""COMPUTED_VALUE"""),420000)</f>
        <v>420000</v>
      </c>
    </row>
    <row r="788" spans="2:9" x14ac:dyDescent="0.3">
      <c r="B788" s="12" t="str">
        <f ca="1">IFERROR(__xludf.DUMMYFUNCTION("""COMPUTED_VALUE"""),"круг")</f>
        <v>круг</v>
      </c>
      <c r="C788" s="7" t="str">
        <f ca="1">IFERROR(__xludf.DUMMYFUNCTION("""COMPUTED_VALUE"""),"ХВГ")</f>
        <v>ХВГ</v>
      </c>
      <c r="D788" s="13">
        <f ca="1">IFERROR(__xludf.DUMMYFUNCTION("""COMPUTED_VALUE"""),160)</f>
        <v>160</v>
      </c>
      <c r="E788" s="13"/>
      <c r="F788" s="14" t="str">
        <f ca="1">IFERROR(__xludf.DUMMYFUNCTION("""COMPUTED_VALUE"""),"2ГП ГОСТ 5950/2590")</f>
        <v>2ГП ГОСТ 5950/2590</v>
      </c>
      <c r="G788" s="15">
        <f ca="1">IFERROR(__xludf.DUMMYFUNCTION("""COMPUTED_VALUE"""),2.354)</f>
        <v>2.3540000000000001</v>
      </c>
      <c r="H788" s="15"/>
      <c r="I788" s="16">
        <f ca="1">IFERROR(__xludf.DUMMYFUNCTION("""COMPUTED_VALUE"""),420000)</f>
        <v>420000</v>
      </c>
    </row>
    <row r="789" spans="2:9" x14ac:dyDescent="0.3">
      <c r="B789" s="12" t="str">
        <f ca="1">IFERROR(__xludf.DUMMYFUNCTION("""COMPUTED_VALUE"""),"круг")</f>
        <v>круг</v>
      </c>
      <c r="C789" s="7" t="str">
        <f ca="1">IFERROR(__xludf.DUMMYFUNCTION("""COMPUTED_VALUE"""),"ХВГ")</f>
        <v>ХВГ</v>
      </c>
      <c r="D789" s="13">
        <f ca="1">IFERROR(__xludf.DUMMYFUNCTION("""COMPUTED_VALUE"""),170)</f>
        <v>170</v>
      </c>
      <c r="E789" s="13"/>
      <c r="F789" s="14" t="str">
        <f ca="1">IFERROR(__xludf.DUMMYFUNCTION("""COMPUTED_VALUE"""),"2ГП ГОСТ 5950/2590")</f>
        <v>2ГП ГОСТ 5950/2590</v>
      </c>
      <c r="G789" s="15">
        <f ca="1">IFERROR(__xludf.DUMMYFUNCTION("""COMPUTED_VALUE"""),0.468)</f>
        <v>0.46800000000000003</v>
      </c>
      <c r="H789" s="15"/>
      <c r="I789" s="16">
        <f ca="1">IFERROR(__xludf.DUMMYFUNCTION("""COMPUTED_VALUE"""),420000)</f>
        <v>420000</v>
      </c>
    </row>
    <row r="790" spans="2:9" x14ac:dyDescent="0.3">
      <c r="B790" s="12" t="str">
        <f ca="1">IFERROR(__xludf.DUMMYFUNCTION("""COMPUTED_VALUE"""),"круг")</f>
        <v>круг</v>
      </c>
      <c r="C790" s="7" t="str">
        <f ca="1">IFERROR(__xludf.DUMMYFUNCTION("""COMPUTED_VALUE"""),"ХВГ")</f>
        <v>ХВГ</v>
      </c>
      <c r="D790" s="13">
        <f ca="1">IFERROR(__xludf.DUMMYFUNCTION("""COMPUTED_VALUE"""),200)</f>
        <v>200</v>
      </c>
      <c r="E790" s="13"/>
      <c r="F790" s="14" t="str">
        <f ca="1">IFERROR(__xludf.DUMMYFUNCTION("""COMPUTED_VALUE"""),"3ГП ГОСТ 5950/2590 отжиг")</f>
        <v>3ГП ГОСТ 5950/2590 отжиг</v>
      </c>
      <c r="G790" s="15">
        <f ca="1">IFERROR(__xludf.DUMMYFUNCTION("""COMPUTED_VALUE"""),0.516)</f>
        <v>0.51600000000000001</v>
      </c>
      <c r="H790" s="15"/>
      <c r="I790" s="16">
        <f ca="1">IFERROR(__xludf.DUMMYFUNCTION("""COMPUTED_VALUE"""),420000)</f>
        <v>420000</v>
      </c>
    </row>
    <row r="791" spans="2:9" x14ac:dyDescent="0.3">
      <c r="B791" s="12" t="str">
        <f ca="1">IFERROR(__xludf.DUMMYFUNCTION("""COMPUTED_VALUE"""),"круг")</f>
        <v>круг</v>
      </c>
      <c r="C791" s="7" t="str">
        <f ca="1">IFERROR(__xludf.DUMMYFUNCTION("""COMPUTED_VALUE"""),"ХВГ")</f>
        <v>ХВГ</v>
      </c>
      <c r="D791" s="13">
        <f ca="1">IFERROR(__xludf.DUMMYFUNCTION("""COMPUTED_VALUE"""),200)</f>
        <v>200</v>
      </c>
      <c r="E791" s="13"/>
      <c r="F791" s="14" t="str">
        <f ca="1">IFERROR(__xludf.DUMMYFUNCTION("""COMPUTED_VALUE"""),"2ГП ГОСТ 5950/2590")</f>
        <v>2ГП ГОСТ 5950/2590</v>
      </c>
      <c r="G791" s="15">
        <f ca="1">IFERROR(__xludf.DUMMYFUNCTION("""COMPUTED_VALUE"""),0.0820000000000003)</f>
        <v>8.2000000000000295E-2</v>
      </c>
      <c r="H791" s="15"/>
      <c r="I791" s="16">
        <f ca="1">IFERROR(__xludf.DUMMYFUNCTION("""COMPUTED_VALUE"""),420000)</f>
        <v>420000</v>
      </c>
    </row>
    <row r="792" spans="2:9" x14ac:dyDescent="0.3">
      <c r="B792" s="12" t="str">
        <f ca="1">IFERROR(__xludf.DUMMYFUNCTION("""COMPUTED_VALUE"""),"круг ков")</f>
        <v>круг ков</v>
      </c>
      <c r="C792" s="7" t="str">
        <f ca="1">IFERROR(__xludf.DUMMYFUNCTION("""COMPUTED_VALUE"""),"ХВГ")</f>
        <v>ХВГ</v>
      </c>
      <c r="D792" s="13">
        <f ca="1">IFERROR(__xludf.DUMMYFUNCTION("""COMPUTED_VALUE"""),250)</f>
        <v>250</v>
      </c>
      <c r="E792" s="13"/>
      <c r="F792" s="14" t="str">
        <f ca="1">IFERROR(__xludf.DUMMYFUNCTION("""COMPUTED_VALUE"""),"для гор. обр., ")</f>
        <v xml:space="preserve">для гор. обр., </v>
      </c>
      <c r="G792" s="15">
        <f ca="1">IFERROR(__xludf.DUMMYFUNCTION("""COMPUTED_VALUE"""),0.784)</f>
        <v>0.78400000000000003</v>
      </c>
      <c r="H792" s="15"/>
      <c r="I792" s="16">
        <f ca="1">IFERROR(__xludf.DUMMYFUNCTION("""COMPUTED_VALUE"""),420000)</f>
        <v>420000</v>
      </c>
    </row>
    <row r="793" spans="2:9" x14ac:dyDescent="0.3">
      <c r="B793" s="12" t="str">
        <f ca="1">IFERROR(__xludf.DUMMYFUNCTION("""COMPUTED_VALUE"""),"круг ков")</f>
        <v>круг ков</v>
      </c>
      <c r="C793" s="7" t="str">
        <f ca="1">IFERROR(__xludf.DUMMYFUNCTION("""COMPUTED_VALUE"""),"ХВГ")</f>
        <v>ХВГ</v>
      </c>
      <c r="D793" s="13">
        <f ca="1">IFERROR(__xludf.DUMMYFUNCTION("""COMPUTED_VALUE"""),250)</f>
        <v>250</v>
      </c>
      <c r="E793" s="13"/>
      <c r="F793" s="14" t="str">
        <f ca="1">IFERROR(__xludf.DUMMYFUNCTION("""COMPUTED_VALUE"""),"для гор. обр., ")</f>
        <v xml:space="preserve">для гор. обр., </v>
      </c>
      <c r="G793" s="15">
        <f ca="1">IFERROR(__xludf.DUMMYFUNCTION("""COMPUTED_VALUE"""),0.975)</f>
        <v>0.97499999999999998</v>
      </c>
      <c r="H793" s="15"/>
      <c r="I793" s="16">
        <f ca="1">IFERROR(__xludf.DUMMYFUNCTION("""COMPUTED_VALUE"""),420000)</f>
        <v>420000</v>
      </c>
    </row>
    <row r="794" spans="2:9" x14ac:dyDescent="0.3">
      <c r="B794" s="12" t="str">
        <f ca="1">IFERROR(__xludf.DUMMYFUNCTION("""COMPUTED_VALUE"""),"круг ков")</f>
        <v>круг ков</v>
      </c>
      <c r="C794" s="7" t="str">
        <f ca="1">IFERROR(__xludf.DUMMYFUNCTION("""COMPUTED_VALUE"""),"ХВГ")</f>
        <v>ХВГ</v>
      </c>
      <c r="D794" s="13">
        <f ca="1">IFERROR(__xludf.DUMMYFUNCTION("""COMPUTED_VALUE"""),280)</f>
        <v>280</v>
      </c>
      <c r="E794" s="13"/>
      <c r="F794" s="14" t="str">
        <f ca="1">IFERROR(__xludf.DUMMYFUNCTION("""COMPUTED_VALUE"""),"для гор. обр., ")</f>
        <v xml:space="preserve">для гор. обр., </v>
      </c>
      <c r="G794" s="15">
        <f ca="1">IFERROR(__xludf.DUMMYFUNCTION("""COMPUTED_VALUE"""),0.103)</f>
        <v>0.10299999999999999</v>
      </c>
      <c r="H794" s="15"/>
      <c r="I794" s="16">
        <f ca="1">IFERROR(__xludf.DUMMYFUNCTION("""COMPUTED_VALUE"""),420000)</f>
        <v>420000</v>
      </c>
    </row>
    <row r="795" spans="2:9" x14ac:dyDescent="0.3">
      <c r="B795" s="12" t="str">
        <f ca="1">IFERROR(__xludf.DUMMYFUNCTION("""COMPUTED_VALUE"""),"круг ков")</f>
        <v>круг ков</v>
      </c>
      <c r="C795" s="7" t="str">
        <f ca="1">IFERROR(__xludf.DUMMYFUNCTION("""COMPUTED_VALUE"""),"ХВГ")</f>
        <v>ХВГ</v>
      </c>
      <c r="D795" s="13">
        <f ca="1">IFERROR(__xludf.DUMMYFUNCTION("""COMPUTED_VALUE"""),300)</f>
        <v>300</v>
      </c>
      <c r="E795" s="13"/>
      <c r="F795" s="14" t="str">
        <f ca="1">IFERROR(__xludf.DUMMYFUNCTION("""COMPUTED_VALUE"""),"для гор. обр., ")</f>
        <v xml:space="preserve">для гор. обр., </v>
      </c>
      <c r="G795" s="15">
        <f ca="1">IFERROR(__xludf.DUMMYFUNCTION("""COMPUTED_VALUE"""),1.047)</f>
        <v>1.0469999999999999</v>
      </c>
      <c r="H795" s="15"/>
      <c r="I795" s="16">
        <f ca="1">IFERROR(__xludf.DUMMYFUNCTION("""COMPUTED_VALUE"""),420000)</f>
        <v>420000</v>
      </c>
    </row>
    <row r="796" spans="2:9" x14ac:dyDescent="0.3">
      <c r="B796" s="12" t="str">
        <f ca="1">IFERROR(__xludf.DUMMYFUNCTION("""COMPUTED_VALUE"""),"Круг")</f>
        <v>Круг</v>
      </c>
      <c r="C796" s="7" t="str">
        <f ca="1">IFERROR(__xludf.DUMMYFUNCTION("""COMPUTED_VALUE"""),"40хн2ма")</f>
        <v>40хн2ма</v>
      </c>
      <c r="D796" s="13">
        <f ca="1">IFERROR(__xludf.DUMMYFUNCTION("""COMPUTED_VALUE"""),140)</f>
        <v>140</v>
      </c>
      <c r="E796" s="13"/>
      <c r="F796" s="14" t="str">
        <f ca="1">IFERROR(__xludf.DUMMYFUNCTION("""COMPUTED_VALUE""")," ")</f>
        <v xml:space="preserve"> </v>
      </c>
      <c r="G796" s="15">
        <f ca="1">IFERROR(__xludf.DUMMYFUNCTION("""COMPUTED_VALUE"""),0.223)</f>
        <v>0.223</v>
      </c>
      <c r="H796" s="15"/>
      <c r="I796" s="16">
        <f ca="1">IFERROR(__xludf.DUMMYFUNCTION("""COMPUTED_VALUE"""),150000)</f>
        <v>150000</v>
      </c>
    </row>
    <row r="797" spans="2:9" x14ac:dyDescent="0.3">
      <c r="B797" s="12" t="str">
        <f ca="1">IFERROR(__xludf.DUMMYFUNCTION("""COMPUTED_VALUE"""),"Круг")</f>
        <v>Круг</v>
      </c>
      <c r="C797" s="7" t="str">
        <f ca="1">IFERROR(__xludf.DUMMYFUNCTION("""COMPUTED_VALUE"""),"40хн2ма ")</f>
        <v xml:space="preserve">40хн2ма </v>
      </c>
      <c r="D797" s="13">
        <f ca="1">IFERROR(__xludf.DUMMYFUNCTION("""COMPUTED_VALUE"""),150)</f>
        <v>150</v>
      </c>
      <c r="E797" s="13"/>
      <c r="F797" s="14" t="str">
        <f ca="1">IFERROR(__xludf.DUMMYFUNCTION("""COMPUTED_VALUE"""),"1гр, УЗК, контроль НМВ")</f>
        <v>1гр, УЗК, контроль НМВ</v>
      </c>
      <c r="G797" s="15">
        <f ca="1">IFERROR(__xludf.DUMMYFUNCTION("""COMPUTED_VALUE"""),0.014)</f>
        <v>1.4E-2</v>
      </c>
      <c r="H797" s="15"/>
      <c r="I797" s="16">
        <f ca="1">IFERROR(__xludf.DUMMYFUNCTION("""COMPUTED_VALUE"""),170000)</f>
        <v>170000</v>
      </c>
    </row>
    <row r="798" spans="2:9" x14ac:dyDescent="0.3">
      <c r="B798" s="12" t="str">
        <f ca="1">IFERROR(__xludf.DUMMYFUNCTION("""COMPUTED_VALUE"""),"Круг")</f>
        <v>Круг</v>
      </c>
      <c r="C798" s="7" t="str">
        <f ca="1">IFERROR(__xludf.DUMMYFUNCTION("""COMPUTED_VALUE"""),"40хн2ма ")</f>
        <v xml:space="preserve">40хн2ма </v>
      </c>
      <c r="D798" s="13">
        <f ca="1">IFERROR(__xludf.DUMMYFUNCTION("""COMPUTED_VALUE"""),350)</f>
        <v>350</v>
      </c>
      <c r="E798" s="13"/>
      <c r="F798" s="14" t="str">
        <f ca="1">IFERROR(__xludf.DUMMYFUNCTION("""COMPUTED_VALUE"""),"3 гп, ")</f>
        <v xml:space="preserve">3 гп, </v>
      </c>
      <c r="G798" s="15">
        <f ca="1">IFERROR(__xludf.DUMMYFUNCTION("""COMPUTED_VALUE"""),0.083)</f>
        <v>8.3000000000000004E-2</v>
      </c>
      <c r="H798" s="15"/>
      <c r="I798" s="16">
        <f ca="1">IFERROR(__xludf.DUMMYFUNCTION("""COMPUTED_VALUE"""),230000)</f>
        <v>230000</v>
      </c>
    </row>
    <row r="799" spans="2:9" x14ac:dyDescent="0.3">
      <c r="B799" s="12" t="str">
        <f ca="1">IFERROR(__xludf.DUMMYFUNCTION("""COMPUTED_VALUE"""),"круг КОВ")</f>
        <v>круг КОВ</v>
      </c>
      <c r="C799" s="7" t="str">
        <f ca="1">IFERROR(__xludf.DUMMYFUNCTION("""COMPUTED_VALUE"""),"40ХН2МА")</f>
        <v>40ХН2МА</v>
      </c>
      <c r="D799" s="13">
        <f ca="1">IFERROR(__xludf.DUMMYFUNCTION("""COMPUTED_VALUE"""),360)</f>
        <v>360</v>
      </c>
      <c r="E799" s="13"/>
      <c r="F799" s="14" t="str">
        <f ca="1">IFERROR(__xludf.DUMMYFUNCTION("""COMPUTED_VALUE"""),"3600, 4430, 4860 мм (12.11.2024 г.)")</f>
        <v>3600, 4430, 4860 мм (12.11.2024 г.)</v>
      </c>
      <c r="G799" s="15">
        <f ca="1">IFERROR(__xludf.DUMMYFUNCTION("""COMPUTED_VALUE"""),10.408)</f>
        <v>10.407999999999999</v>
      </c>
      <c r="H799" s="15"/>
      <c r="I799" s="16">
        <f ca="1">IFERROR(__xludf.DUMMYFUNCTION("""COMPUTED_VALUE"""),230000)</f>
        <v>230000</v>
      </c>
    </row>
    <row r="800" spans="2:9" x14ac:dyDescent="0.3">
      <c r="B800" s="12" t="str">
        <f ca="1">IFERROR(__xludf.DUMMYFUNCTION("""COMPUTED_VALUE"""),"круг КОВ")</f>
        <v>круг КОВ</v>
      </c>
      <c r="C800" s="7" t="str">
        <f ca="1">IFERROR(__xludf.DUMMYFUNCTION("""COMPUTED_VALUE"""),"40хн2ма ")</f>
        <v xml:space="preserve">40хн2ма </v>
      </c>
      <c r="D800" s="13">
        <f ca="1">IFERROR(__xludf.DUMMYFUNCTION("""COMPUTED_VALUE"""),380)</f>
        <v>380</v>
      </c>
      <c r="E800" s="13"/>
      <c r="F800" s="14" t="str">
        <f ca="1">IFERROR(__xludf.DUMMYFUNCTION("""COMPUTED_VALUE"""),"2гр, УЗК")</f>
        <v>2гр, УЗК</v>
      </c>
      <c r="G800" s="15">
        <f ca="1">IFERROR(__xludf.DUMMYFUNCTION("""COMPUTED_VALUE"""),3.017)</f>
        <v>3.0169999999999999</v>
      </c>
      <c r="H800" s="15"/>
      <c r="I800" s="16">
        <f ca="1">IFERROR(__xludf.DUMMYFUNCTION("""COMPUTED_VALUE"""),230000)</f>
        <v>230000</v>
      </c>
    </row>
    <row r="801" spans="2:9" x14ac:dyDescent="0.3">
      <c r="B801" s="12" t="str">
        <f ca="1">IFERROR(__xludf.DUMMYFUNCTION("""COMPUTED_VALUE"""),"круг КОВ")</f>
        <v>круг КОВ</v>
      </c>
      <c r="C801" s="7" t="str">
        <f ca="1">IFERROR(__xludf.DUMMYFUNCTION("""COMPUTED_VALUE"""),"40хн2ма ")</f>
        <v xml:space="preserve">40хн2ма </v>
      </c>
      <c r="D801" s="13">
        <f ca="1">IFERROR(__xludf.DUMMYFUNCTION("""COMPUTED_VALUE"""),400)</f>
        <v>400</v>
      </c>
      <c r="E801" s="13"/>
      <c r="F801" s="14" t="str">
        <f ca="1">IFERROR(__xludf.DUMMYFUNCTION("""COMPUTED_VALUE"""),"2гр, УЗК")</f>
        <v>2гр, УЗК</v>
      </c>
      <c r="G801" s="15">
        <f ca="1">IFERROR(__xludf.DUMMYFUNCTION("""COMPUTED_VALUE"""),5.65)</f>
        <v>5.65</v>
      </c>
      <c r="H801" s="15"/>
      <c r="I801" s="16">
        <f ca="1">IFERROR(__xludf.DUMMYFUNCTION("""COMPUTED_VALUE"""),230000)</f>
        <v>230000</v>
      </c>
    </row>
    <row r="802" spans="2:9" x14ac:dyDescent="0.3">
      <c r="B802" s="12" t="str">
        <f ca="1">IFERROR(__xludf.DUMMYFUNCTION("""COMPUTED_VALUE"""),"круг КОВ")</f>
        <v>круг КОВ</v>
      </c>
      <c r="C802" s="7" t="str">
        <f ca="1">IFERROR(__xludf.DUMMYFUNCTION("""COMPUTED_VALUE"""),"40ХН2МА")</f>
        <v>40ХН2МА</v>
      </c>
      <c r="D802" s="13">
        <f ca="1">IFERROR(__xludf.DUMMYFUNCTION("""COMPUTED_VALUE"""),400)</f>
        <v>400</v>
      </c>
      <c r="E802" s="13"/>
      <c r="F802" s="14"/>
      <c r="G802" s="15">
        <f ca="1">IFERROR(__xludf.DUMMYFUNCTION("""COMPUTED_VALUE"""),0.178)</f>
        <v>0.17799999999999999</v>
      </c>
      <c r="H802" s="15"/>
      <c r="I802" s="16">
        <f ca="1">IFERROR(__xludf.DUMMYFUNCTION("""COMPUTED_VALUE"""),230000)</f>
        <v>230000</v>
      </c>
    </row>
    <row r="803" spans="2:9" x14ac:dyDescent="0.3">
      <c r="B803" s="12" t="str">
        <f ca="1">IFERROR(__xludf.DUMMYFUNCTION("""COMPUTED_VALUE"""),"круг КОВ")</f>
        <v>круг КОВ</v>
      </c>
      <c r="C803" s="7" t="str">
        <f ca="1">IFERROR(__xludf.DUMMYFUNCTION("""COMPUTED_VALUE"""),"40хн2ма ")</f>
        <v xml:space="preserve">40хн2ма </v>
      </c>
      <c r="D803" s="13">
        <f ca="1">IFERROR(__xludf.DUMMYFUNCTION("""COMPUTED_VALUE"""),420)</f>
        <v>420</v>
      </c>
      <c r="E803" s="13"/>
      <c r="F803" s="14" t="str">
        <f ca="1">IFERROR(__xludf.DUMMYFUNCTION("""COMPUTED_VALUE"""),"2гр, УЗК")</f>
        <v>2гр, УЗК</v>
      </c>
      <c r="G803" s="15">
        <f ca="1">IFERROR(__xludf.DUMMYFUNCTION("""COMPUTED_VALUE"""),0.26)</f>
        <v>0.26</v>
      </c>
      <c r="H803" s="15"/>
      <c r="I803" s="16">
        <f ca="1">IFERROR(__xludf.DUMMYFUNCTION("""COMPUTED_VALUE"""),230000)</f>
        <v>230000</v>
      </c>
    </row>
    <row r="804" spans="2:9" x14ac:dyDescent="0.3">
      <c r="B804" s="12" t="str">
        <f ca="1">IFERROR(__xludf.DUMMYFUNCTION("""COMPUTED_VALUE"""),"круг КОВ")</f>
        <v>круг КОВ</v>
      </c>
      <c r="C804" s="7" t="str">
        <f ca="1">IFERROR(__xludf.DUMMYFUNCTION("""COMPUTED_VALUE"""),"40ХН2МА")</f>
        <v>40ХН2МА</v>
      </c>
      <c r="D804" s="13">
        <f ca="1">IFERROR(__xludf.DUMMYFUNCTION("""COMPUTED_VALUE"""),420)</f>
        <v>420</v>
      </c>
      <c r="E804" s="13"/>
      <c r="F804" s="14"/>
      <c r="G804" s="15">
        <f ca="1">IFERROR(__xludf.DUMMYFUNCTION("""COMPUTED_VALUE"""),2.17299999999999)</f>
        <v>2.1729999999999898</v>
      </c>
      <c r="H804" s="15"/>
      <c r="I804" s="16">
        <f ca="1">IFERROR(__xludf.DUMMYFUNCTION("""COMPUTED_VALUE"""),230000)</f>
        <v>230000</v>
      </c>
    </row>
    <row r="805" spans="2:9" x14ac:dyDescent="0.3">
      <c r="B805" s="12" t="str">
        <f ca="1">IFERROR(__xludf.DUMMYFUNCTION("""COMPUTED_VALUE"""),"круг КОВ")</f>
        <v>круг КОВ</v>
      </c>
      <c r="C805" s="7" t="str">
        <f ca="1">IFERROR(__xludf.DUMMYFUNCTION("""COMPUTED_VALUE"""),"40хн2ма ")</f>
        <v xml:space="preserve">40хн2ма </v>
      </c>
      <c r="D805" s="13">
        <f ca="1">IFERROR(__xludf.DUMMYFUNCTION("""COMPUTED_VALUE"""),450)</f>
        <v>450</v>
      </c>
      <c r="E805" s="13"/>
      <c r="F805" s="14" t="str">
        <f ca="1">IFERROR(__xludf.DUMMYFUNCTION("""COMPUTED_VALUE"""),"2гр, УЗК")</f>
        <v>2гр, УЗК</v>
      </c>
      <c r="G805" s="15">
        <f ca="1">IFERROR(__xludf.DUMMYFUNCTION("""COMPUTED_VALUE"""),5.84)</f>
        <v>5.84</v>
      </c>
      <c r="H805" s="15"/>
      <c r="I805" s="16">
        <f ca="1">IFERROR(__xludf.DUMMYFUNCTION("""COMPUTED_VALUE"""),230000)</f>
        <v>230000</v>
      </c>
    </row>
    <row r="806" spans="2:9" x14ac:dyDescent="0.3">
      <c r="B806" s="12" t="str">
        <f ca="1">IFERROR(__xludf.DUMMYFUNCTION("""COMPUTED_VALUE"""),"круг КОВ")</f>
        <v>круг КОВ</v>
      </c>
      <c r="C806" s="7" t="str">
        <f ca="1">IFERROR(__xludf.DUMMYFUNCTION("""COMPUTED_VALUE"""),"40ХН2МА")</f>
        <v>40ХН2МА</v>
      </c>
      <c r="D806" s="13">
        <f ca="1">IFERROR(__xludf.DUMMYFUNCTION("""COMPUTED_VALUE"""),480)</f>
        <v>480</v>
      </c>
      <c r="E806" s="13"/>
      <c r="F806" s="14" t="str">
        <f ca="1">IFERROR(__xludf.DUMMYFUNCTION("""COMPUTED_VALUE"""),"1 шт")</f>
        <v>1 шт</v>
      </c>
      <c r="G806" s="15">
        <f ca="1">IFERROR(__xludf.DUMMYFUNCTION("""COMPUTED_VALUE"""),2.16499999999999)</f>
        <v>2.1649999999999898</v>
      </c>
      <c r="H806" s="15"/>
      <c r="I806" s="16">
        <f ca="1">IFERROR(__xludf.DUMMYFUNCTION("""COMPUTED_VALUE"""),230000)</f>
        <v>230000</v>
      </c>
    </row>
    <row r="807" spans="2:9" x14ac:dyDescent="0.3">
      <c r="B807" s="12" t="str">
        <f ca="1">IFERROR(__xludf.DUMMYFUNCTION("""COMPUTED_VALUE"""),"круг КОВ")</f>
        <v>круг КОВ</v>
      </c>
      <c r="C807" s="7" t="str">
        <f ca="1">IFERROR(__xludf.DUMMYFUNCTION("""COMPUTED_VALUE"""),"40хн2ма ")</f>
        <v xml:space="preserve">40хн2ма </v>
      </c>
      <c r="D807" s="13">
        <f ca="1">IFERROR(__xludf.DUMMYFUNCTION("""COMPUTED_VALUE"""),500)</f>
        <v>500</v>
      </c>
      <c r="E807" s="13"/>
      <c r="F807" s="14" t="str">
        <f ca="1">IFERROR(__xludf.DUMMYFUNCTION("""COMPUTED_VALUE"""),"2гр, УЗК")</f>
        <v>2гр, УЗК</v>
      </c>
      <c r="G807" s="15">
        <f ca="1">IFERROR(__xludf.DUMMYFUNCTION("""COMPUTED_VALUE"""),5.404)</f>
        <v>5.4039999999999999</v>
      </c>
      <c r="H807" s="15"/>
      <c r="I807" s="16">
        <f ca="1">IFERROR(__xludf.DUMMYFUNCTION("""COMPUTED_VALUE"""),230000)</f>
        <v>230000</v>
      </c>
    </row>
    <row r="808" spans="2:9" x14ac:dyDescent="0.3">
      <c r="B808" s="12" t="str">
        <f ca="1">IFERROR(__xludf.DUMMYFUNCTION("""COMPUTED_VALUE"""),"круг")</f>
        <v>круг</v>
      </c>
      <c r="C808" s="7" t="str">
        <f ca="1">IFERROR(__xludf.DUMMYFUNCTION("""COMPUTED_VALUE"""),"34ХН1М ков")</f>
        <v>34ХН1М ков</v>
      </c>
      <c r="D808" s="13">
        <f ca="1">IFERROR(__xludf.DUMMYFUNCTION("""COMPUTED_VALUE"""),320)</f>
        <v>320</v>
      </c>
      <c r="E808" s="13"/>
      <c r="F808" s="14" t="str">
        <f ca="1">IFERROR(__xludf.DUMMYFUNCTION("""COMPUTED_VALUE"""),"при расчете чистовой -20 мм")</f>
        <v>при расчете чистовой -20 мм</v>
      </c>
      <c r="G808" s="15">
        <f ca="1">IFERROR(__xludf.DUMMYFUNCTION("""COMPUTED_VALUE"""),0.464999999999999)</f>
        <v>0.46499999999999903</v>
      </c>
      <c r="H808" s="15"/>
      <c r="I808" s="16">
        <f ca="1">IFERROR(__xludf.DUMMYFUNCTION("""COMPUTED_VALUE"""),230000)</f>
        <v>230000</v>
      </c>
    </row>
    <row r="809" spans="2:9" x14ac:dyDescent="0.3">
      <c r="B809" s="12" t="str">
        <f ca="1">IFERROR(__xludf.DUMMYFUNCTION("""COMPUTED_VALUE"""),"круг")</f>
        <v>круг</v>
      </c>
      <c r="C809" s="7" t="str">
        <f ca="1">IFERROR(__xludf.DUMMYFUNCTION("""COMPUTED_VALUE"""),"34ХН1М ков")</f>
        <v>34ХН1М ков</v>
      </c>
      <c r="D809" s="13">
        <f ca="1">IFERROR(__xludf.DUMMYFUNCTION("""COMPUTED_VALUE"""),380)</f>
        <v>380</v>
      </c>
      <c r="E809" s="13"/>
      <c r="F809" s="14" t="str">
        <f ca="1">IFERROR(__xludf.DUMMYFUNCTION("""COMPUTED_VALUE"""),"при расчете чистовой -20 мм")</f>
        <v>при расчете чистовой -20 мм</v>
      </c>
      <c r="G809" s="15">
        <f ca="1">IFERROR(__xludf.DUMMYFUNCTION("""COMPUTED_VALUE"""),0.0630000000000001)</f>
        <v>6.3000000000000098E-2</v>
      </c>
      <c r="H809" s="15"/>
      <c r="I809" s="16">
        <f ca="1">IFERROR(__xludf.DUMMYFUNCTION("""COMPUTED_VALUE"""),230000)</f>
        <v>230000</v>
      </c>
    </row>
    <row r="810" spans="2:9" x14ac:dyDescent="0.3">
      <c r="B810" s="12" t="str">
        <f ca="1">IFERROR(__xludf.DUMMYFUNCTION("""COMPUTED_VALUE"""),"круг")</f>
        <v>круг</v>
      </c>
      <c r="C810" s="7" t="str">
        <f ca="1">IFERROR(__xludf.DUMMYFUNCTION("""COMPUTED_VALUE"""),"34ХН1М ков")</f>
        <v>34ХН1М ков</v>
      </c>
      <c r="D810" s="13">
        <f ca="1">IFERROR(__xludf.DUMMYFUNCTION("""COMPUTED_VALUE"""),400)</f>
        <v>400</v>
      </c>
      <c r="E810" s="13"/>
      <c r="F810" s="14" t="str">
        <f ca="1">IFERROR(__xludf.DUMMYFUNCTION("""COMPUTED_VALUE"""),"при расчете чистовой -20 мм")</f>
        <v>при расчете чистовой -20 мм</v>
      </c>
      <c r="G810" s="15">
        <f ca="1">IFERROR(__xludf.DUMMYFUNCTION("""COMPUTED_VALUE"""),2.988)</f>
        <v>2.988</v>
      </c>
      <c r="H810" s="15"/>
      <c r="I810" s="16">
        <f ca="1">IFERROR(__xludf.DUMMYFUNCTION("""COMPUTED_VALUE"""),230000)</f>
        <v>230000</v>
      </c>
    </row>
    <row r="811" spans="2:9" x14ac:dyDescent="0.3">
      <c r="B811" s="12" t="str">
        <f ca="1">IFERROR(__xludf.DUMMYFUNCTION("""COMPUTED_VALUE"""),"круг")</f>
        <v>круг</v>
      </c>
      <c r="C811" s="7" t="str">
        <f ca="1">IFERROR(__xludf.DUMMYFUNCTION("""COMPUTED_VALUE"""),"34ХН1М ков")</f>
        <v>34ХН1М ков</v>
      </c>
      <c r="D811" s="13">
        <f ca="1">IFERROR(__xludf.DUMMYFUNCTION("""COMPUTED_VALUE"""),410)</f>
        <v>410</v>
      </c>
      <c r="E811" s="13"/>
      <c r="F811" s="14" t="str">
        <f ca="1">IFERROR(__xludf.DUMMYFUNCTION("""COMPUTED_VALUE"""),"при расчете чистовой -20 мм")</f>
        <v>при расчете чистовой -20 мм</v>
      </c>
      <c r="G811" s="15">
        <f ca="1">IFERROR(__xludf.DUMMYFUNCTION("""COMPUTED_VALUE"""),0.698)</f>
        <v>0.69799999999999995</v>
      </c>
      <c r="H811" s="15"/>
      <c r="I811" s="16">
        <f ca="1">IFERROR(__xludf.DUMMYFUNCTION("""COMPUTED_VALUE"""),230000)</f>
        <v>230000</v>
      </c>
    </row>
    <row r="812" spans="2:9" x14ac:dyDescent="0.3">
      <c r="B812" s="12" t="str">
        <f ca="1">IFERROR(__xludf.DUMMYFUNCTION("""COMPUTED_VALUE"""),"круг")</f>
        <v>круг</v>
      </c>
      <c r="C812" s="7" t="str">
        <f ca="1">IFERROR(__xludf.DUMMYFUNCTION("""COMPUTED_VALUE"""),"34ХН1М ков")</f>
        <v>34ХН1М ков</v>
      </c>
      <c r="D812" s="13">
        <f ca="1">IFERROR(__xludf.DUMMYFUNCTION("""COMPUTED_VALUE"""),420)</f>
        <v>420</v>
      </c>
      <c r="E812" s="13"/>
      <c r="F812" s="14" t="str">
        <f ca="1">IFERROR(__xludf.DUMMYFUNCTION("""COMPUTED_VALUE"""),"при расчете чистовой -20 мм")</f>
        <v>при расчете чистовой -20 мм</v>
      </c>
      <c r="G812" s="15">
        <f ca="1">IFERROR(__xludf.DUMMYFUNCTION("""COMPUTED_VALUE"""),0.901)</f>
        <v>0.90100000000000002</v>
      </c>
      <c r="H812" s="15"/>
      <c r="I812" s="16">
        <f ca="1">IFERROR(__xludf.DUMMYFUNCTION("""COMPUTED_VALUE"""),230000)</f>
        <v>230000</v>
      </c>
    </row>
    <row r="813" spans="2:9" x14ac:dyDescent="0.3">
      <c r="B813" s="12" t="str">
        <f ca="1">IFERROR(__xludf.DUMMYFUNCTION("""COMPUTED_VALUE"""),"круг")</f>
        <v>круг</v>
      </c>
      <c r="C813" s="7" t="str">
        <f ca="1">IFERROR(__xludf.DUMMYFUNCTION("""COMPUTED_VALUE"""),"34ХН1М ков")</f>
        <v>34ХН1М ков</v>
      </c>
      <c r="D813" s="13">
        <f ca="1">IFERROR(__xludf.DUMMYFUNCTION("""COMPUTED_VALUE"""),520)</f>
        <v>520</v>
      </c>
      <c r="E813" s="13"/>
      <c r="F813" s="14"/>
      <c r="G813" s="15">
        <f ca="1">IFERROR(__xludf.DUMMYFUNCTION("""COMPUTED_VALUE"""),1.314)</f>
        <v>1.3140000000000001</v>
      </c>
      <c r="H813" s="15"/>
      <c r="I813" s="16">
        <f ca="1">IFERROR(__xludf.DUMMYFUNCTION("""COMPUTED_VALUE"""),230000)</f>
        <v>230000</v>
      </c>
    </row>
    <row r="814" spans="2:9" x14ac:dyDescent="0.3">
      <c r="B814" s="12" t="str">
        <f ca="1">IFERROR(__xludf.DUMMYFUNCTION("""COMPUTED_VALUE"""),"вал")</f>
        <v>вал</v>
      </c>
      <c r="C814" s="7" t="str">
        <f ca="1">IFERROR(__xludf.DUMMYFUNCTION("""COMPUTED_VALUE"""),"34ХН1М ков")</f>
        <v>34ХН1М ков</v>
      </c>
      <c r="D814" s="13"/>
      <c r="E814" s="13"/>
      <c r="F814" s="14" t="str">
        <f ca="1">IFERROR(__xludf.DUMMYFUNCTION("""COMPUTED_VALUE"""),"вал ступ чертеж 573")</f>
        <v>вал ступ чертеж 573</v>
      </c>
      <c r="G814" s="15">
        <f ca="1">IFERROR(__xludf.DUMMYFUNCTION("""COMPUTED_VALUE"""),1.95)</f>
        <v>1.95</v>
      </c>
      <c r="H814" s="15"/>
      <c r="I814" s="16">
        <f ca="1">IFERROR(__xludf.DUMMYFUNCTION("""COMPUTED_VALUE"""),230000)</f>
        <v>230000</v>
      </c>
    </row>
    <row r="815" spans="2:9" x14ac:dyDescent="0.3">
      <c r="B815" s="12" t="str">
        <f ca="1">IFERROR(__xludf.DUMMYFUNCTION("""COMPUTED_VALUE"""),"вал")</f>
        <v>вал</v>
      </c>
      <c r="C815" s="7" t="str">
        <f ca="1">IFERROR(__xludf.DUMMYFUNCTION("""COMPUTED_VALUE"""),"34ХН1М ков")</f>
        <v>34ХН1М ков</v>
      </c>
      <c r="D815" s="13"/>
      <c r="E815" s="13"/>
      <c r="F815" s="14" t="str">
        <f ca="1">IFERROR(__xludf.DUMMYFUNCTION("""COMPUTED_VALUE"""),"вал ступ чертеж 573")</f>
        <v>вал ступ чертеж 573</v>
      </c>
      <c r="G815" s="15">
        <f ca="1">IFERROR(__xludf.DUMMYFUNCTION("""COMPUTED_VALUE"""),1.95)</f>
        <v>1.95</v>
      </c>
      <c r="H815" s="15"/>
      <c r="I815" s="16">
        <f ca="1">IFERROR(__xludf.DUMMYFUNCTION("""COMPUTED_VALUE"""),230000)</f>
        <v>230000</v>
      </c>
    </row>
    <row r="816" spans="2:9" x14ac:dyDescent="0.3">
      <c r="B816" s="12" t="str">
        <f ca="1">IFERROR(__xludf.DUMMYFUNCTION("""COMPUTED_VALUE"""),"круг")</f>
        <v>круг</v>
      </c>
      <c r="C816" s="7" t="str">
        <f ca="1">IFERROR(__xludf.DUMMYFUNCTION("""COMPUTED_VALUE"""),"38хм")</f>
        <v>38хм</v>
      </c>
      <c r="D816" s="13">
        <f ca="1">IFERROR(__xludf.DUMMYFUNCTION("""COMPUTED_VALUE"""),10)</f>
        <v>10</v>
      </c>
      <c r="E816" s="13"/>
      <c r="F816" s="14" t="str">
        <f ca="1">IFERROR(__xludf.DUMMYFUNCTION("""COMPUTED_VALUE"""),"4950-6000, 2ГП")</f>
        <v>4950-6000, 2ГП</v>
      </c>
      <c r="G816" s="15">
        <f ca="1">IFERROR(__xludf.DUMMYFUNCTION("""COMPUTED_VALUE"""),1.46799999999999)</f>
        <v>1.46799999999999</v>
      </c>
      <c r="H816" s="15"/>
      <c r="I816" s="16">
        <f ca="1">IFERROR(__xludf.DUMMYFUNCTION("""COMPUTED_VALUE"""),155000)</f>
        <v>155000</v>
      </c>
    </row>
    <row r="817" spans="2:9" x14ac:dyDescent="0.3">
      <c r="B817" s="12" t="str">
        <f ca="1">IFERROR(__xludf.DUMMYFUNCTION("""COMPUTED_VALUE"""),"круг")</f>
        <v>круг</v>
      </c>
      <c r="C817" s="7" t="str">
        <f ca="1">IFERROR(__xludf.DUMMYFUNCTION("""COMPUTED_VALUE"""),"38хм")</f>
        <v>38хм</v>
      </c>
      <c r="D817" s="13">
        <f ca="1">IFERROR(__xludf.DUMMYFUNCTION("""COMPUTED_VALUE"""),14)</f>
        <v>14</v>
      </c>
      <c r="E817" s="13"/>
      <c r="F817" s="14"/>
      <c r="G817" s="15">
        <f ca="1">IFERROR(__xludf.DUMMYFUNCTION("""COMPUTED_VALUE"""),0.369)</f>
        <v>0.36899999999999999</v>
      </c>
      <c r="H817" s="15"/>
      <c r="I817" s="16">
        <f ca="1">IFERROR(__xludf.DUMMYFUNCTION("""COMPUTED_VALUE"""),155000)</f>
        <v>155000</v>
      </c>
    </row>
    <row r="818" spans="2:9" x14ac:dyDescent="0.3">
      <c r="B818" s="12" t="str">
        <f ca="1">IFERROR(__xludf.DUMMYFUNCTION("""COMPUTED_VALUE"""),"круг")</f>
        <v>круг</v>
      </c>
      <c r="C818" s="7" t="str">
        <f ca="1">IFERROR(__xludf.DUMMYFUNCTION("""COMPUTED_VALUE"""),"38хм")</f>
        <v>38хм</v>
      </c>
      <c r="D818" s="13">
        <f ca="1">IFERROR(__xludf.DUMMYFUNCTION("""COMPUTED_VALUE"""),14)</f>
        <v>14</v>
      </c>
      <c r="E818" s="13"/>
      <c r="F818" s="14"/>
      <c r="G818" s="15">
        <f ca="1">IFERROR(__xludf.DUMMYFUNCTION("""COMPUTED_VALUE"""),1.75)</f>
        <v>1.75</v>
      </c>
      <c r="H818" s="15"/>
      <c r="I818" s="16">
        <f ca="1">IFERROR(__xludf.DUMMYFUNCTION("""COMPUTED_VALUE"""),155000)</f>
        <v>155000</v>
      </c>
    </row>
    <row r="819" spans="2:9" x14ac:dyDescent="0.3">
      <c r="B819" s="12" t="str">
        <f ca="1">IFERROR(__xludf.DUMMYFUNCTION("""COMPUTED_VALUE"""),"круг")</f>
        <v>круг</v>
      </c>
      <c r="C819" s="7" t="str">
        <f ca="1">IFERROR(__xludf.DUMMYFUNCTION("""COMPUTED_VALUE"""),"38хм")</f>
        <v>38хм</v>
      </c>
      <c r="D819" s="13">
        <f ca="1">IFERROR(__xludf.DUMMYFUNCTION("""COMPUTED_VALUE"""),15)</f>
        <v>15</v>
      </c>
      <c r="E819" s="13"/>
      <c r="F819" s="14"/>
      <c r="G819" s="15">
        <f ca="1">IFERROR(__xludf.DUMMYFUNCTION("""COMPUTED_VALUE"""),0.036)</f>
        <v>3.5999999999999997E-2</v>
      </c>
      <c r="H819" s="15"/>
      <c r="I819" s="16">
        <f ca="1">IFERROR(__xludf.DUMMYFUNCTION("""COMPUTED_VALUE"""),155000)</f>
        <v>155000</v>
      </c>
    </row>
    <row r="820" spans="2:9" x14ac:dyDescent="0.3">
      <c r="B820" s="12" t="str">
        <f ca="1">IFERROR(__xludf.DUMMYFUNCTION("""COMPUTED_VALUE"""),"круг")</f>
        <v>круг</v>
      </c>
      <c r="C820" s="7" t="str">
        <f ca="1">IFERROR(__xludf.DUMMYFUNCTION("""COMPUTED_VALUE"""),"38хм")</f>
        <v>38хм</v>
      </c>
      <c r="D820" s="13">
        <f ca="1">IFERROR(__xludf.DUMMYFUNCTION("""COMPUTED_VALUE"""),15)</f>
        <v>15</v>
      </c>
      <c r="E820" s="13"/>
      <c r="F820" s="14"/>
      <c r="G820" s="15">
        <f ca="1">IFERROR(__xludf.DUMMYFUNCTION("""COMPUTED_VALUE"""),1.32)</f>
        <v>1.32</v>
      </c>
      <c r="H820" s="15"/>
      <c r="I820" s="16">
        <f ca="1">IFERROR(__xludf.DUMMYFUNCTION("""COMPUTED_VALUE"""),155000)</f>
        <v>155000</v>
      </c>
    </row>
    <row r="821" spans="2:9" x14ac:dyDescent="0.3">
      <c r="B821" s="12" t="str">
        <f ca="1">IFERROR(__xludf.DUMMYFUNCTION("""COMPUTED_VALUE"""),"круг")</f>
        <v>круг</v>
      </c>
      <c r="C821" s="7" t="str">
        <f ca="1">IFERROR(__xludf.DUMMYFUNCTION("""COMPUTED_VALUE"""),"38хм")</f>
        <v>38хм</v>
      </c>
      <c r="D821" s="13">
        <f ca="1">IFERROR(__xludf.DUMMYFUNCTION("""COMPUTED_VALUE"""),15)</f>
        <v>15</v>
      </c>
      <c r="E821" s="13"/>
      <c r="F821" s="14" t="str">
        <f ca="1">IFERROR(__xludf.DUMMYFUNCTION("""COMPUTED_VALUE"""),"ГОСТ4543/2590, 2ГП")</f>
        <v>ГОСТ4543/2590, 2ГП</v>
      </c>
      <c r="G821" s="15">
        <f ca="1">IFERROR(__xludf.DUMMYFUNCTION("""COMPUTED_VALUE"""),2.27)</f>
        <v>2.27</v>
      </c>
      <c r="H821" s="15"/>
      <c r="I821" s="16">
        <f ca="1">IFERROR(__xludf.DUMMYFUNCTION("""COMPUTED_VALUE"""),155000)</f>
        <v>155000</v>
      </c>
    </row>
    <row r="822" spans="2:9" x14ac:dyDescent="0.3">
      <c r="B822" s="12" t="str">
        <f ca="1">IFERROR(__xludf.DUMMYFUNCTION("""COMPUTED_VALUE"""),"круг")</f>
        <v>круг</v>
      </c>
      <c r="C822" s="7" t="str">
        <f ca="1">IFERROR(__xludf.DUMMYFUNCTION("""COMPUTED_VALUE"""),"38хм")</f>
        <v>38хм</v>
      </c>
      <c r="D822" s="13">
        <f ca="1">IFERROR(__xludf.DUMMYFUNCTION("""COMPUTED_VALUE"""),16)</f>
        <v>16</v>
      </c>
      <c r="E822" s="13"/>
      <c r="F822" s="14"/>
      <c r="G822" s="15">
        <f ca="1">IFERROR(__xludf.DUMMYFUNCTION("""COMPUTED_VALUE"""),3.3121)</f>
        <v>3.3121</v>
      </c>
      <c r="H822" s="15"/>
      <c r="I822" s="16">
        <f ca="1">IFERROR(__xludf.DUMMYFUNCTION("""COMPUTED_VALUE"""),155000)</f>
        <v>155000</v>
      </c>
    </row>
    <row r="823" spans="2:9" x14ac:dyDescent="0.3">
      <c r="B823" s="12" t="str">
        <f ca="1">IFERROR(__xludf.DUMMYFUNCTION("""COMPUTED_VALUE"""),"круг")</f>
        <v>круг</v>
      </c>
      <c r="C823" s="7" t="str">
        <f ca="1">IFERROR(__xludf.DUMMYFUNCTION("""COMPUTED_VALUE"""),"38хм")</f>
        <v>38хм</v>
      </c>
      <c r="D823" s="13">
        <f ca="1">IFERROR(__xludf.DUMMYFUNCTION("""COMPUTED_VALUE"""),18)</f>
        <v>18</v>
      </c>
      <c r="E823" s="13"/>
      <c r="F823" s="14" t="str">
        <f ca="1">IFERROR(__xludf.DUMMYFUNCTION("""COMPUTED_VALUE"""),"с налетом")</f>
        <v>с налетом</v>
      </c>
      <c r="G823" s="15">
        <f ca="1">IFERROR(__xludf.DUMMYFUNCTION("""COMPUTED_VALUE"""),0.0449999999999998)</f>
        <v>4.4999999999999797E-2</v>
      </c>
      <c r="H823" s="15"/>
      <c r="I823" s="16">
        <f ca="1">IFERROR(__xludf.DUMMYFUNCTION("""COMPUTED_VALUE"""),155000)</f>
        <v>155000</v>
      </c>
    </row>
    <row r="824" spans="2:9" x14ac:dyDescent="0.3">
      <c r="B824" s="12" t="str">
        <f ca="1">IFERROR(__xludf.DUMMYFUNCTION("""COMPUTED_VALUE"""),"круг")</f>
        <v>круг</v>
      </c>
      <c r="C824" s="7" t="str">
        <f ca="1">IFERROR(__xludf.DUMMYFUNCTION("""COMPUTED_VALUE"""),"38хм")</f>
        <v>38хм</v>
      </c>
      <c r="D824" s="13">
        <f ca="1">IFERROR(__xludf.DUMMYFUNCTION("""COMPUTED_VALUE"""),18)</f>
        <v>18</v>
      </c>
      <c r="E824" s="13"/>
      <c r="F824" s="14" t="str">
        <f ca="1">IFERROR(__xludf.DUMMYFUNCTION("""COMPUTED_VALUE"""),"2ГП ")</f>
        <v xml:space="preserve">2ГП </v>
      </c>
      <c r="G824" s="15">
        <f ca="1">IFERROR(__xludf.DUMMYFUNCTION("""COMPUTED_VALUE"""),3.78)</f>
        <v>3.78</v>
      </c>
      <c r="H824" s="15"/>
      <c r="I824" s="16">
        <f ca="1">IFERROR(__xludf.DUMMYFUNCTION("""COMPUTED_VALUE"""),150000)</f>
        <v>150000</v>
      </c>
    </row>
    <row r="825" spans="2:9" x14ac:dyDescent="0.3">
      <c r="B825" s="12" t="str">
        <f ca="1">IFERROR(__xludf.DUMMYFUNCTION("""COMPUTED_VALUE"""),"круг")</f>
        <v>круг</v>
      </c>
      <c r="C825" s="7" t="str">
        <f ca="1">IFERROR(__xludf.DUMMYFUNCTION("""COMPUTED_VALUE"""),"38хм")</f>
        <v>38хм</v>
      </c>
      <c r="D825" s="13">
        <f ca="1">IFERROR(__xludf.DUMMYFUNCTION("""COMPUTED_VALUE"""),20)</f>
        <v>20</v>
      </c>
      <c r="E825" s="13"/>
      <c r="F825" s="14" t="str">
        <f ca="1">IFERROR(__xludf.DUMMYFUNCTION("""COMPUTED_VALUE"""),"2ГП , В1, ")</f>
        <v xml:space="preserve">2ГП , В1, </v>
      </c>
      <c r="G825" s="15">
        <f ca="1">IFERROR(__xludf.DUMMYFUNCTION("""COMPUTED_VALUE"""),4)</f>
        <v>4</v>
      </c>
      <c r="H825" s="15"/>
      <c r="I825" s="16">
        <f ca="1">IFERROR(__xludf.DUMMYFUNCTION("""COMPUTED_VALUE"""),150000)</f>
        <v>150000</v>
      </c>
    </row>
    <row r="826" spans="2:9" x14ac:dyDescent="0.3">
      <c r="B826" s="12" t="str">
        <f ca="1">IFERROR(__xludf.DUMMYFUNCTION("""COMPUTED_VALUE"""),"круг")</f>
        <v>круг</v>
      </c>
      <c r="C826" s="7" t="str">
        <f ca="1">IFERROR(__xludf.DUMMYFUNCTION("""COMPUTED_VALUE"""),"38хм")</f>
        <v>38хм</v>
      </c>
      <c r="D826" s="13">
        <f ca="1">IFERROR(__xludf.DUMMYFUNCTION("""COMPUTED_VALUE"""),22)</f>
        <v>22</v>
      </c>
      <c r="E826" s="13"/>
      <c r="F826" s="14" t="str">
        <f ca="1">IFERROR(__xludf.DUMMYFUNCTION("""COMPUTED_VALUE"""),"ГОСТ45432590, 2ГП")</f>
        <v>ГОСТ45432590, 2ГП</v>
      </c>
      <c r="G826" s="15">
        <f ca="1">IFERROR(__xludf.DUMMYFUNCTION("""COMPUTED_VALUE"""),3.855)</f>
        <v>3.855</v>
      </c>
      <c r="H826" s="15"/>
      <c r="I826" s="16">
        <f ca="1">IFERROR(__xludf.DUMMYFUNCTION("""COMPUTED_VALUE"""),140000)</f>
        <v>140000</v>
      </c>
    </row>
    <row r="827" spans="2:9" x14ac:dyDescent="0.3">
      <c r="B827" s="12" t="str">
        <f ca="1">IFERROR(__xludf.DUMMYFUNCTION("""COMPUTED_VALUE"""),"круг")</f>
        <v>круг</v>
      </c>
      <c r="C827" s="7" t="str">
        <f ca="1">IFERROR(__xludf.DUMMYFUNCTION("""COMPUTED_VALUE"""),"38хм")</f>
        <v>38хм</v>
      </c>
      <c r="D827" s="13">
        <f ca="1">IFERROR(__xludf.DUMMYFUNCTION("""COMPUTED_VALUE"""),24)</f>
        <v>24</v>
      </c>
      <c r="E827" s="13"/>
      <c r="F827" s="14" t="str">
        <f ca="1">IFERROR(__xludf.DUMMYFUNCTION("""COMPUTED_VALUE"""),"2ГП ")</f>
        <v xml:space="preserve">2ГП </v>
      </c>
      <c r="G827" s="15">
        <f ca="1">IFERROR(__xludf.DUMMYFUNCTION("""COMPUTED_VALUE"""),3.023)</f>
        <v>3.0230000000000001</v>
      </c>
      <c r="H827" s="15"/>
      <c r="I827" s="16">
        <f ca="1">IFERROR(__xludf.DUMMYFUNCTION("""COMPUTED_VALUE"""),140000)</f>
        <v>140000</v>
      </c>
    </row>
    <row r="828" spans="2:9" x14ac:dyDescent="0.3">
      <c r="B828" s="12" t="str">
        <f ca="1">IFERROR(__xludf.DUMMYFUNCTION("""COMPUTED_VALUE"""),"круг")</f>
        <v>круг</v>
      </c>
      <c r="C828" s="7" t="str">
        <f ca="1">IFERROR(__xludf.DUMMYFUNCTION("""COMPUTED_VALUE"""),"38хм")</f>
        <v>38хм</v>
      </c>
      <c r="D828" s="13">
        <f ca="1">IFERROR(__xludf.DUMMYFUNCTION("""COMPUTED_VALUE"""),25)</f>
        <v>25</v>
      </c>
      <c r="E828" s="13"/>
      <c r="F828" s="14"/>
      <c r="G828" s="15">
        <f ca="1">IFERROR(__xludf.DUMMYFUNCTION("""COMPUTED_VALUE"""),3.906)</f>
        <v>3.9060000000000001</v>
      </c>
      <c r="H828" s="15"/>
      <c r="I828" s="16">
        <f ca="1">IFERROR(__xludf.DUMMYFUNCTION("""COMPUTED_VALUE"""),140000)</f>
        <v>140000</v>
      </c>
    </row>
    <row r="829" spans="2:9" x14ac:dyDescent="0.3">
      <c r="B829" s="12" t="str">
        <f ca="1">IFERROR(__xludf.DUMMYFUNCTION("""COMPUTED_VALUE"""),"круг")</f>
        <v>круг</v>
      </c>
      <c r="C829" s="7" t="str">
        <f ca="1">IFERROR(__xludf.DUMMYFUNCTION("""COMPUTED_VALUE"""),"38хм")</f>
        <v>38хм</v>
      </c>
      <c r="D829" s="13">
        <f ca="1">IFERROR(__xludf.DUMMYFUNCTION("""COMPUTED_VALUE"""),26)</f>
        <v>26</v>
      </c>
      <c r="E829" s="13"/>
      <c r="F829" s="14" t="str">
        <f ca="1">IFERROR(__xludf.DUMMYFUNCTION("""COMPUTED_VALUE"""),"  ")</f>
        <v xml:space="preserve">  </v>
      </c>
      <c r="G829" s="15">
        <f ca="1">IFERROR(__xludf.DUMMYFUNCTION("""COMPUTED_VALUE"""),0.499999999999999)</f>
        <v>0.499999999999999</v>
      </c>
      <c r="H829" s="15"/>
      <c r="I829" s="16">
        <f ca="1">IFERROR(__xludf.DUMMYFUNCTION("""COMPUTED_VALUE"""),140000)</f>
        <v>140000</v>
      </c>
    </row>
    <row r="830" spans="2:9" x14ac:dyDescent="0.3">
      <c r="B830" s="12" t="str">
        <f ca="1">IFERROR(__xludf.DUMMYFUNCTION("""COMPUTED_VALUE"""),"круг")</f>
        <v>круг</v>
      </c>
      <c r="C830" s="7" t="str">
        <f ca="1">IFERROR(__xludf.DUMMYFUNCTION("""COMPUTED_VALUE"""),"38хм")</f>
        <v>38хм</v>
      </c>
      <c r="D830" s="13">
        <f ca="1">IFERROR(__xludf.DUMMYFUNCTION("""COMPUTED_VALUE"""),26)</f>
        <v>26</v>
      </c>
      <c r="E830" s="13"/>
      <c r="F830" s="14" t="str">
        <f ca="1">IFERROR(__xludf.DUMMYFUNCTION("""COMPUTED_VALUE"""),"2ГП , В1, ")</f>
        <v xml:space="preserve">2ГП , В1, </v>
      </c>
      <c r="G830" s="15">
        <f ca="1">IFERROR(__xludf.DUMMYFUNCTION("""COMPUTED_VALUE"""),4)</f>
        <v>4</v>
      </c>
      <c r="H830" s="15"/>
      <c r="I830" s="16">
        <f ca="1">IFERROR(__xludf.DUMMYFUNCTION("""COMPUTED_VALUE"""),140000)</f>
        <v>140000</v>
      </c>
    </row>
    <row r="831" spans="2:9" x14ac:dyDescent="0.3">
      <c r="B831" s="12" t="str">
        <f ca="1">IFERROR(__xludf.DUMMYFUNCTION("""COMPUTED_VALUE"""),"круг")</f>
        <v>круг</v>
      </c>
      <c r="C831" s="7" t="str">
        <f ca="1">IFERROR(__xludf.DUMMYFUNCTION("""COMPUTED_VALUE"""),"38хм")</f>
        <v>38хм</v>
      </c>
      <c r="D831" s="13">
        <f ca="1">IFERROR(__xludf.DUMMYFUNCTION("""COMPUTED_VALUE"""),28)</f>
        <v>28</v>
      </c>
      <c r="E831" s="13"/>
      <c r="F831" s="14" t="str">
        <f ca="1">IFERROR(__xludf.DUMMYFUNCTION("""COMPUTED_VALUE"""),"2ГП")</f>
        <v>2ГП</v>
      </c>
      <c r="G831" s="15">
        <f ca="1">IFERROR(__xludf.DUMMYFUNCTION("""COMPUTED_VALUE"""),1.29099999999999)</f>
        <v>1.2909999999999899</v>
      </c>
      <c r="H831" s="15"/>
      <c r="I831" s="16">
        <f ca="1">IFERROR(__xludf.DUMMYFUNCTION("""COMPUTED_VALUE"""),140000)</f>
        <v>140000</v>
      </c>
    </row>
    <row r="832" spans="2:9" x14ac:dyDescent="0.3">
      <c r="B832" s="12" t="str">
        <f ca="1">IFERROR(__xludf.DUMMYFUNCTION("""COMPUTED_VALUE"""),"круг")</f>
        <v>круг</v>
      </c>
      <c r="C832" s="7" t="str">
        <f ca="1">IFERROR(__xludf.DUMMYFUNCTION("""COMPUTED_VALUE"""),"38хм")</f>
        <v>38хм</v>
      </c>
      <c r="D832" s="13">
        <f ca="1">IFERROR(__xludf.DUMMYFUNCTION("""COMPUTED_VALUE"""),28)</f>
        <v>28</v>
      </c>
      <c r="E832" s="13"/>
      <c r="F832" s="14" t="str">
        <f ca="1">IFERROR(__xludf.DUMMYFUNCTION("""COMPUTED_VALUE"""),"ГОСТ4543/2590")</f>
        <v>ГОСТ4543/2590</v>
      </c>
      <c r="G832" s="15">
        <f ca="1">IFERROR(__xludf.DUMMYFUNCTION("""COMPUTED_VALUE"""),4.51)</f>
        <v>4.51</v>
      </c>
      <c r="H832" s="15"/>
      <c r="I832" s="16">
        <f ca="1">IFERROR(__xludf.DUMMYFUNCTION("""COMPUTED_VALUE"""),140000)</f>
        <v>140000</v>
      </c>
    </row>
    <row r="833" spans="2:9" x14ac:dyDescent="0.3">
      <c r="B833" s="12" t="str">
        <f ca="1">IFERROR(__xludf.DUMMYFUNCTION("""COMPUTED_VALUE"""),"круг")</f>
        <v>круг</v>
      </c>
      <c r="C833" s="7" t="str">
        <f ca="1">IFERROR(__xludf.DUMMYFUNCTION("""COMPUTED_VALUE"""),"38хм")</f>
        <v>38хм</v>
      </c>
      <c r="D833" s="13">
        <f ca="1">IFERROR(__xludf.DUMMYFUNCTION("""COMPUTED_VALUE"""),30)</f>
        <v>30</v>
      </c>
      <c r="E833" s="13"/>
      <c r="F833" s="14" t="str">
        <f ca="1">IFERROR(__xludf.DUMMYFUNCTION("""COMPUTED_VALUE"""),"ГОСТ4543/2590. 2гп")</f>
        <v>ГОСТ4543/2590. 2гп</v>
      </c>
      <c r="G833" s="15">
        <f ca="1">IFERROR(__xludf.DUMMYFUNCTION("""COMPUTED_VALUE"""),4.41299999999999)</f>
        <v>4.4129999999999896</v>
      </c>
      <c r="H833" s="15"/>
      <c r="I833" s="16">
        <f ca="1">IFERROR(__xludf.DUMMYFUNCTION("""COMPUTED_VALUE"""),140000)</f>
        <v>140000</v>
      </c>
    </row>
    <row r="834" spans="2:9" x14ac:dyDescent="0.3">
      <c r="B834" s="12" t="str">
        <f ca="1">IFERROR(__xludf.DUMMYFUNCTION("""COMPUTED_VALUE"""),"круг")</f>
        <v>круг</v>
      </c>
      <c r="C834" s="7" t="str">
        <f ca="1">IFERROR(__xludf.DUMMYFUNCTION("""COMPUTED_VALUE"""),"38хм")</f>
        <v>38хм</v>
      </c>
      <c r="D834" s="13">
        <f ca="1">IFERROR(__xludf.DUMMYFUNCTION("""COMPUTED_VALUE"""),32)</f>
        <v>32</v>
      </c>
      <c r="E834" s="13"/>
      <c r="F834" s="14" t="str">
        <f ca="1">IFERROR(__xludf.DUMMYFUNCTION("""COMPUTED_VALUE"""),"ГОСТ4543/2590. 2гп")</f>
        <v>ГОСТ4543/2590. 2гп</v>
      </c>
      <c r="G834" s="15">
        <f ca="1">IFERROR(__xludf.DUMMYFUNCTION("""COMPUTED_VALUE"""),3.729)</f>
        <v>3.7290000000000001</v>
      </c>
      <c r="H834" s="15"/>
      <c r="I834" s="16">
        <f ca="1">IFERROR(__xludf.DUMMYFUNCTION("""COMPUTED_VALUE"""),140000)</f>
        <v>140000</v>
      </c>
    </row>
    <row r="835" spans="2:9" x14ac:dyDescent="0.3">
      <c r="B835" s="12" t="str">
        <f ca="1">IFERROR(__xludf.DUMMYFUNCTION("""COMPUTED_VALUE"""),"круг")</f>
        <v>круг</v>
      </c>
      <c r="C835" s="7" t="str">
        <f ca="1">IFERROR(__xludf.DUMMYFUNCTION("""COMPUTED_VALUE"""),"38хм")</f>
        <v>38хм</v>
      </c>
      <c r="D835" s="13">
        <f ca="1">IFERROR(__xludf.DUMMYFUNCTION("""COMPUTED_VALUE"""),38)</f>
        <v>38</v>
      </c>
      <c r="E835" s="13"/>
      <c r="F835" s="14" t="str">
        <f ca="1">IFERROR(__xludf.DUMMYFUNCTION("""COMPUTED_VALUE"""),"2ГП ")</f>
        <v xml:space="preserve">2ГП </v>
      </c>
      <c r="G835" s="15">
        <f ca="1">IFERROR(__xludf.DUMMYFUNCTION("""COMPUTED_VALUE"""),0.999)</f>
        <v>0.999</v>
      </c>
      <c r="H835" s="15"/>
      <c r="I835" s="16">
        <f ca="1">IFERROR(__xludf.DUMMYFUNCTION("""COMPUTED_VALUE"""),140000)</f>
        <v>140000</v>
      </c>
    </row>
    <row r="836" spans="2:9" x14ac:dyDescent="0.3">
      <c r="B836" s="12" t="str">
        <f ca="1">IFERROR(__xludf.DUMMYFUNCTION("""COMPUTED_VALUE"""),"круг")</f>
        <v>круг</v>
      </c>
      <c r="C836" s="7" t="str">
        <f ca="1">IFERROR(__xludf.DUMMYFUNCTION("""COMPUTED_VALUE"""),"38хм")</f>
        <v>38хм</v>
      </c>
      <c r="D836" s="13">
        <f ca="1">IFERROR(__xludf.DUMMYFUNCTION("""COMPUTED_VALUE"""),38)</f>
        <v>38</v>
      </c>
      <c r="E836" s="13"/>
      <c r="F836" s="14" t="str">
        <f ca="1">IFERROR(__xludf.DUMMYFUNCTION("""COMPUTED_VALUE"""),"ГОСТ4543/2590. 2гп")</f>
        <v>ГОСТ4543/2590. 2гп</v>
      </c>
      <c r="G836" s="15">
        <f ca="1">IFERROR(__xludf.DUMMYFUNCTION("""COMPUTED_VALUE"""),4.35)</f>
        <v>4.3499999999999996</v>
      </c>
      <c r="H836" s="15"/>
      <c r="I836" s="16">
        <f ca="1">IFERROR(__xludf.DUMMYFUNCTION("""COMPUTED_VALUE"""),140000)</f>
        <v>140000</v>
      </c>
    </row>
    <row r="837" spans="2:9" x14ac:dyDescent="0.3">
      <c r="B837" s="12" t="str">
        <f ca="1">IFERROR(__xludf.DUMMYFUNCTION("""COMPUTED_VALUE"""),"круг")</f>
        <v>круг</v>
      </c>
      <c r="C837" s="7" t="str">
        <f ca="1">IFERROR(__xludf.DUMMYFUNCTION("""COMPUTED_VALUE"""),"38хм")</f>
        <v>38хм</v>
      </c>
      <c r="D837" s="13">
        <f ca="1">IFERROR(__xludf.DUMMYFUNCTION("""COMPUTED_VALUE"""),40)</f>
        <v>40</v>
      </c>
      <c r="E837" s="13"/>
      <c r="F837" s="14"/>
      <c r="G837" s="15">
        <f ca="1">IFERROR(__xludf.DUMMYFUNCTION("""COMPUTED_VALUE"""),1.65099999999999)</f>
        <v>1.65099999999999</v>
      </c>
      <c r="H837" s="15"/>
      <c r="I837" s="16">
        <f ca="1">IFERROR(__xludf.DUMMYFUNCTION("""COMPUTED_VALUE"""),140000)</f>
        <v>140000</v>
      </c>
    </row>
    <row r="838" spans="2:9" x14ac:dyDescent="0.3">
      <c r="B838" s="12" t="str">
        <f ca="1">IFERROR(__xludf.DUMMYFUNCTION("""COMPUTED_VALUE"""),"круг")</f>
        <v>круг</v>
      </c>
      <c r="C838" s="7" t="str">
        <f ca="1">IFERROR(__xludf.DUMMYFUNCTION("""COMPUTED_VALUE"""),"38хм")</f>
        <v>38хм</v>
      </c>
      <c r="D838" s="13">
        <f ca="1">IFERROR(__xludf.DUMMYFUNCTION("""COMPUTED_VALUE"""),40)</f>
        <v>40</v>
      </c>
      <c r="E838" s="13"/>
      <c r="F838" s="14" t="str">
        <f ca="1">IFERROR(__xludf.DUMMYFUNCTION("""COMPUTED_VALUE"""),"ГОСТ4543/2590")</f>
        <v>ГОСТ4543/2590</v>
      </c>
      <c r="G838" s="15">
        <f ca="1">IFERROR(__xludf.DUMMYFUNCTION("""COMPUTED_VALUE"""),2.02)</f>
        <v>2.02</v>
      </c>
      <c r="H838" s="15"/>
      <c r="I838" s="16">
        <f ca="1">IFERROR(__xludf.DUMMYFUNCTION("""COMPUTED_VALUE"""),140000)</f>
        <v>140000</v>
      </c>
    </row>
    <row r="839" spans="2:9" x14ac:dyDescent="0.3">
      <c r="B839" s="12" t="str">
        <f ca="1">IFERROR(__xludf.DUMMYFUNCTION("""COMPUTED_VALUE"""),"круг")</f>
        <v>круг</v>
      </c>
      <c r="C839" s="7" t="str">
        <f ca="1">IFERROR(__xludf.DUMMYFUNCTION("""COMPUTED_VALUE"""),"38хм")</f>
        <v>38хм</v>
      </c>
      <c r="D839" s="13">
        <f ca="1">IFERROR(__xludf.DUMMYFUNCTION("""COMPUTED_VALUE"""),40)</f>
        <v>40</v>
      </c>
      <c r="E839" s="13"/>
      <c r="F839" s="14" t="str">
        <f ca="1">IFERROR(__xludf.DUMMYFUNCTION("""COMPUTED_VALUE"""),"ГОСТ4543/2590")</f>
        <v>ГОСТ4543/2590</v>
      </c>
      <c r="G839" s="15">
        <f ca="1">IFERROR(__xludf.DUMMYFUNCTION("""COMPUTED_VALUE"""),4.71)</f>
        <v>4.71</v>
      </c>
      <c r="H839" s="15"/>
      <c r="I839" s="16">
        <f ca="1">IFERROR(__xludf.DUMMYFUNCTION("""COMPUTED_VALUE"""),140000)</f>
        <v>140000</v>
      </c>
    </row>
    <row r="840" spans="2:9" x14ac:dyDescent="0.3">
      <c r="B840" s="12" t="str">
        <f ca="1">IFERROR(__xludf.DUMMYFUNCTION("""COMPUTED_VALUE"""),"круг")</f>
        <v>круг</v>
      </c>
      <c r="C840" s="7" t="str">
        <f ca="1">IFERROR(__xludf.DUMMYFUNCTION("""COMPUTED_VALUE"""),"38хм")</f>
        <v>38хм</v>
      </c>
      <c r="D840" s="13">
        <f ca="1">IFERROR(__xludf.DUMMYFUNCTION("""COMPUTED_VALUE"""),50)</f>
        <v>50</v>
      </c>
      <c r="E840" s="13"/>
      <c r="F840" s="14" t="str">
        <f ca="1">IFERROR(__xludf.DUMMYFUNCTION("""COMPUTED_VALUE"""),"2ГП ")</f>
        <v xml:space="preserve">2ГП </v>
      </c>
      <c r="G840" s="15">
        <f ca="1">IFERROR(__xludf.DUMMYFUNCTION("""COMPUTED_VALUE"""),2.457)</f>
        <v>2.4569999999999999</v>
      </c>
      <c r="H840" s="15"/>
      <c r="I840" s="16">
        <f ca="1">IFERROR(__xludf.DUMMYFUNCTION("""COMPUTED_VALUE"""),140000)</f>
        <v>140000</v>
      </c>
    </row>
    <row r="841" spans="2:9" x14ac:dyDescent="0.3">
      <c r="B841" s="12" t="str">
        <f ca="1">IFERROR(__xludf.DUMMYFUNCTION("""COMPUTED_VALUE"""),"круг")</f>
        <v>круг</v>
      </c>
      <c r="C841" s="7" t="str">
        <f ca="1">IFERROR(__xludf.DUMMYFUNCTION("""COMPUTED_VALUE"""),"38хм")</f>
        <v>38хм</v>
      </c>
      <c r="D841" s="13">
        <f ca="1">IFERROR(__xludf.DUMMYFUNCTION("""COMPUTED_VALUE"""),50)</f>
        <v>50</v>
      </c>
      <c r="E841" s="13"/>
      <c r="F841" s="14" t="str">
        <f ca="1">IFERROR(__xludf.DUMMYFUNCTION("""COMPUTED_VALUE"""),"2ГП ")</f>
        <v xml:space="preserve">2ГП </v>
      </c>
      <c r="G841" s="15">
        <f ca="1">IFERROR(__xludf.DUMMYFUNCTION("""COMPUTED_VALUE"""),1.55)</f>
        <v>1.55</v>
      </c>
      <c r="H841" s="15"/>
      <c r="I841" s="16">
        <f ca="1">IFERROR(__xludf.DUMMYFUNCTION("""COMPUTED_VALUE"""),140000)</f>
        <v>140000</v>
      </c>
    </row>
    <row r="842" spans="2:9" x14ac:dyDescent="0.3">
      <c r="B842" s="12" t="str">
        <f ca="1">IFERROR(__xludf.DUMMYFUNCTION("""COMPUTED_VALUE"""),"круг")</f>
        <v>круг</v>
      </c>
      <c r="C842" s="7" t="str">
        <f ca="1">IFERROR(__xludf.DUMMYFUNCTION("""COMPUTED_VALUE"""),"38хм")</f>
        <v>38хм</v>
      </c>
      <c r="D842" s="13">
        <f ca="1">IFERROR(__xludf.DUMMYFUNCTION("""COMPUTED_VALUE"""),50)</f>
        <v>50</v>
      </c>
      <c r="E842" s="13"/>
      <c r="F842" s="14" t="str">
        <f ca="1">IFERROR(__xludf.DUMMYFUNCTION("""COMPUTED_VALUE"""),"2ГП ")</f>
        <v xml:space="preserve">2ГП </v>
      </c>
      <c r="G842" s="15">
        <f ca="1">IFERROR(__xludf.DUMMYFUNCTION("""COMPUTED_VALUE"""),4)</f>
        <v>4</v>
      </c>
      <c r="H842" s="15"/>
      <c r="I842" s="16">
        <f ca="1">IFERROR(__xludf.DUMMYFUNCTION("""COMPUTED_VALUE"""),140000)</f>
        <v>140000</v>
      </c>
    </row>
    <row r="843" spans="2:9" x14ac:dyDescent="0.3">
      <c r="B843" s="12" t="str">
        <f ca="1">IFERROR(__xludf.DUMMYFUNCTION("""COMPUTED_VALUE"""),"круг")</f>
        <v>круг</v>
      </c>
      <c r="C843" s="7" t="str">
        <f ca="1">IFERROR(__xludf.DUMMYFUNCTION("""COMPUTED_VALUE"""),"38хм")</f>
        <v>38хм</v>
      </c>
      <c r="D843" s="13">
        <f ca="1">IFERROR(__xludf.DUMMYFUNCTION("""COMPUTED_VALUE"""),56)</f>
        <v>56</v>
      </c>
      <c r="E843" s="13"/>
      <c r="F843" s="14" t="str">
        <f ca="1">IFERROR(__xludf.DUMMYFUNCTION("""COMPUTED_VALUE"""),"2ГП ")</f>
        <v xml:space="preserve">2ГП </v>
      </c>
      <c r="G843" s="15">
        <f ca="1">IFERROR(__xludf.DUMMYFUNCTION("""COMPUTED_VALUE"""),3.461)</f>
        <v>3.4609999999999999</v>
      </c>
      <c r="H843" s="15"/>
      <c r="I843" s="16">
        <f ca="1">IFERROR(__xludf.DUMMYFUNCTION("""COMPUTED_VALUE"""),140000)</f>
        <v>140000</v>
      </c>
    </row>
    <row r="844" spans="2:9" x14ac:dyDescent="0.3">
      <c r="B844" s="12" t="str">
        <f ca="1">IFERROR(__xludf.DUMMYFUNCTION("""COMPUTED_VALUE"""),"круг")</f>
        <v>круг</v>
      </c>
      <c r="C844" s="7" t="str">
        <f ca="1">IFERROR(__xludf.DUMMYFUNCTION("""COMPUTED_VALUE"""),"38хм")</f>
        <v>38хм</v>
      </c>
      <c r="D844" s="13">
        <f ca="1">IFERROR(__xludf.DUMMYFUNCTION("""COMPUTED_VALUE"""),65)</f>
        <v>65</v>
      </c>
      <c r="E844" s="13"/>
      <c r="F844" s="14" t="str">
        <f ca="1">IFERROR(__xludf.DUMMYFUNCTION("""COMPUTED_VALUE"""),"3ГП . В1,ll од 4000-5500")</f>
        <v>3ГП . В1,ll од 4000-5500</v>
      </c>
      <c r="G844" s="15">
        <f ca="1">IFERROR(__xludf.DUMMYFUNCTION("""COMPUTED_VALUE"""),3.984)</f>
        <v>3.984</v>
      </c>
      <c r="H844" s="15"/>
      <c r="I844" s="16">
        <f ca="1">IFERROR(__xludf.DUMMYFUNCTION("""COMPUTED_VALUE"""),140000)</f>
        <v>140000</v>
      </c>
    </row>
    <row r="845" spans="2:9" x14ac:dyDescent="0.3">
      <c r="B845" s="12" t="str">
        <f ca="1">IFERROR(__xludf.DUMMYFUNCTION("""COMPUTED_VALUE"""),"круг")</f>
        <v>круг</v>
      </c>
      <c r="C845" s="7" t="str">
        <f ca="1">IFERROR(__xludf.DUMMYFUNCTION("""COMPUTED_VALUE"""),"38хм")</f>
        <v>38хм</v>
      </c>
      <c r="D845" s="13">
        <f ca="1">IFERROR(__xludf.DUMMYFUNCTION("""COMPUTED_VALUE"""),70)</f>
        <v>70</v>
      </c>
      <c r="E845" s="13"/>
      <c r="F845" s="14"/>
      <c r="G845" s="15">
        <f ca="1">IFERROR(__xludf.DUMMYFUNCTION("""COMPUTED_VALUE"""),3.502)</f>
        <v>3.5019999999999998</v>
      </c>
      <c r="H845" s="15"/>
      <c r="I845" s="16">
        <f ca="1">IFERROR(__xludf.DUMMYFUNCTION("""COMPUTED_VALUE"""),140000)</f>
        <v>140000</v>
      </c>
    </row>
    <row r="846" spans="2:9" x14ac:dyDescent="0.3">
      <c r="B846" s="12" t="str">
        <f ca="1">IFERROR(__xludf.DUMMYFUNCTION("""COMPUTED_VALUE"""),"круг")</f>
        <v>круг</v>
      </c>
      <c r="C846" s="7" t="str">
        <f ca="1">IFERROR(__xludf.DUMMYFUNCTION("""COMPUTED_VALUE"""),"38хм")</f>
        <v>38хм</v>
      </c>
      <c r="D846" s="13">
        <f ca="1">IFERROR(__xludf.DUMMYFUNCTION("""COMPUTED_VALUE"""),75)</f>
        <v>75</v>
      </c>
      <c r="E846" s="13"/>
      <c r="F846" s="14"/>
      <c r="G846" s="15">
        <f ca="1">IFERROR(__xludf.DUMMYFUNCTION("""COMPUTED_VALUE"""),3.056)</f>
        <v>3.056</v>
      </c>
      <c r="H846" s="15"/>
      <c r="I846" s="16">
        <f ca="1">IFERROR(__xludf.DUMMYFUNCTION("""COMPUTED_VALUE"""),140000)</f>
        <v>140000</v>
      </c>
    </row>
    <row r="847" spans="2:9" x14ac:dyDescent="0.3">
      <c r="B847" s="12" t="str">
        <f ca="1">IFERROR(__xludf.DUMMYFUNCTION("""COMPUTED_VALUE"""),"круг")</f>
        <v>круг</v>
      </c>
      <c r="C847" s="7" t="str">
        <f ca="1">IFERROR(__xludf.DUMMYFUNCTION("""COMPUTED_VALUE"""),"38хм")</f>
        <v>38хм</v>
      </c>
      <c r="D847" s="13">
        <f ca="1">IFERROR(__xludf.DUMMYFUNCTION("""COMPUTED_VALUE"""),80)</f>
        <v>80</v>
      </c>
      <c r="E847" s="13"/>
      <c r="F847" s="14" t="str">
        <f ca="1">IFERROR(__xludf.DUMMYFUNCTION("""COMPUTED_VALUE"""),"2ГП ")</f>
        <v xml:space="preserve">2ГП </v>
      </c>
      <c r="G847" s="15">
        <f ca="1">IFERROR(__xludf.DUMMYFUNCTION("""COMPUTED_VALUE"""),2.257)</f>
        <v>2.2570000000000001</v>
      </c>
      <c r="H847" s="15"/>
      <c r="I847" s="16">
        <f ca="1">IFERROR(__xludf.DUMMYFUNCTION("""COMPUTED_VALUE"""),140000)</f>
        <v>140000</v>
      </c>
    </row>
    <row r="848" spans="2:9" x14ac:dyDescent="0.3">
      <c r="B848" s="12" t="str">
        <f ca="1">IFERROR(__xludf.DUMMYFUNCTION("""COMPUTED_VALUE"""),"круг")</f>
        <v>круг</v>
      </c>
      <c r="C848" s="7" t="str">
        <f ca="1">IFERROR(__xludf.DUMMYFUNCTION("""COMPUTED_VALUE"""),"38хм")</f>
        <v>38хм</v>
      </c>
      <c r="D848" s="13">
        <f ca="1">IFERROR(__xludf.DUMMYFUNCTION("""COMPUTED_VALUE"""),80)</f>
        <v>80</v>
      </c>
      <c r="E848" s="13"/>
      <c r="F848" s="14" t="str">
        <f ca="1">IFERROR(__xludf.DUMMYFUNCTION("""COMPUTED_VALUE"""),"3ГП . В1,ll од 4000-5500")</f>
        <v>3ГП . В1,ll од 4000-5500</v>
      </c>
      <c r="G848" s="15">
        <f ca="1">IFERROR(__xludf.DUMMYFUNCTION("""COMPUTED_VALUE"""),3.86899999999999)</f>
        <v>3.86899999999999</v>
      </c>
      <c r="H848" s="15"/>
      <c r="I848" s="16">
        <f ca="1">IFERROR(__xludf.DUMMYFUNCTION("""COMPUTED_VALUE"""),140000)</f>
        <v>140000</v>
      </c>
    </row>
    <row r="849" spans="2:9" x14ac:dyDescent="0.3">
      <c r="B849" s="12" t="str">
        <f ca="1">IFERROR(__xludf.DUMMYFUNCTION("""COMPUTED_VALUE"""),"круг")</f>
        <v>круг</v>
      </c>
      <c r="C849" s="7" t="str">
        <f ca="1">IFERROR(__xludf.DUMMYFUNCTION("""COMPUTED_VALUE"""),"38хм")</f>
        <v>38хм</v>
      </c>
      <c r="D849" s="13">
        <f ca="1">IFERROR(__xludf.DUMMYFUNCTION("""COMPUTED_VALUE"""),85)</f>
        <v>85</v>
      </c>
      <c r="E849" s="13"/>
      <c r="F849" s="14"/>
      <c r="G849" s="15">
        <f ca="1">IFERROR(__xludf.DUMMYFUNCTION("""COMPUTED_VALUE"""),0.013)</f>
        <v>1.2999999999999999E-2</v>
      </c>
      <c r="H849" s="15"/>
      <c r="I849" s="16">
        <f ca="1">IFERROR(__xludf.DUMMYFUNCTION("""COMPUTED_VALUE"""),140000)</f>
        <v>140000</v>
      </c>
    </row>
    <row r="850" spans="2:9" x14ac:dyDescent="0.3">
      <c r="B850" s="12" t="str">
        <f ca="1">IFERROR(__xludf.DUMMYFUNCTION("""COMPUTED_VALUE"""),"круг")</f>
        <v>круг</v>
      </c>
      <c r="C850" s="7" t="str">
        <f ca="1">IFERROR(__xludf.DUMMYFUNCTION("""COMPUTED_VALUE"""),"38хм")</f>
        <v>38хм</v>
      </c>
      <c r="D850" s="13">
        <f ca="1">IFERROR(__xludf.DUMMYFUNCTION("""COMPUTED_VALUE"""),85)</f>
        <v>85</v>
      </c>
      <c r="E850" s="13"/>
      <c r="F850" s="14" t="str">
        <f ca="1">IFERROR(__xludf.DUMMYFUNCTION("""COMPUTED_VALUE"""),"2ГП ")</f>
        <v xml:space="preserve">2ГП </v>
      </c>
      <c r="G850" s="15">
        <f ca="1">IFERROR(__xludf.DUMMYFUNCTION("""COMPUTED_VALUE"""),0.327)</f>
        <v>0.32700000000000001</v>
      </c>
      <c r="H850" s="15"/>
      <c r="I850" s="16">
        <f ca="1">IFERROR(__xludf.DUMMYFUNCTION("""COMPUTED_VALUE"""),140000)</f>
        <v>140000</v>
      </c>
    </row>
    <row r="851" spans="2:9" x14ac:dyDescent="0.3">
      <c r="B851" s="12" t="str">
        <f ca="1">IFERROR(__xludf.DUMMYFUNCTION("""COMPUTED_VALUE"""),"круг")</f>
        <v>круг</v>
      </c>
      <c r="C851" s="7" t="str">
        <f ca="1">IFERROR(__xludf.DUMMYFUNCTION("""COMPUTED_VALUE"""),"38хм")</f>
        <v>38хм</v>
      </c>
      <c r="D851" s="13">
        <f ca="1">IFERROR(__xludf.DUMMYFUNCTION("""COMPUTED_VALUE"""),85)</f>
        <v>85</v>
      </c>
      <c r="E851" s="13"/>
      <c r="F851" s="14" t="str">
        <f ca="1">IFERROR(__xludf.DUMMYFUNCTION("""COMPUTED_VALUE"""),"3ГП . В1,ll од 4000-5500")</f>
        <v>3ГП . В1,ll од 4000-5500</v>
      </c>
      <c r="G851" s="15">
        <f ca="1">IFERROR(__xludf.DUMMYFUNCTION("""COMPUTED_VALUE"""),0.320999999999999)</f>
        <v>0.32099999999999901</v>
      </c>
      <c r="H851" s="15"/>
      <c r="I851" s="16">
        <f ca="1">IFERROR(__xludf.DUMMYFUNCTION("""COMPUTED_VALUE"""),140000)</f>
        <v>140000</v>
      </c>
    </row>
    <row r="852" spans="2:9" x14ac:dyDescent="0.3">
      <c r="B852" s="12" t="str">
        <f ca="1">IFERROR(__xludf.DUMMYFUNCTION("""COMPUTED_VALUE"""),"круг")</f>
        <v>круг</v>
      </c>
      <c r="C852" s="7" t="str">
        <f ca="1">IFERROR(__xludf.DUMMYFUNCTION("""COMPUTED_VALUE"""),"38хм")</f>
        <v>38хм</v>
      </c>
      <c r="D852" s="13">
        <f ca="1">IFERROR(__xludf.DUMMYFUNCTION("""COMPUTED_VALUE"""),85)</f>
        <v>85</v>
      </c>
      <c r="E852" s="13"/>
      <c r="F852" s="14" t="str">
        <f ca="1">IFERROR(__xludf.DUMMYFUNCTION("""COMPUTED_VALUE"""),"3ГП . В1,ll од 4000-5500")</f>
        <v>3ГП . В1,ll од 4000-5500</v>
      </c>
      <c r="G852" s="15">
        <f ca="1">IFERROR(__xludf.DUMMYFUNCTION("""COMPUTED_VALUE"""),3.44999999999999)</f>
        <v>3.44999999999999</v>
      </c>
      <c r="H852" s="15"/>
      <c r="I852" s="16">
        <f ca="1">IFERROR(__xludf.DUMMYFUNCTION("""COMPUTED_VALUE"""),140000)</f>
        <v>140000</v>
      </c>
    </row>
    <row r="853" spans="2:9" x14ac:dyDescent="0.3">
      <c r="B853" s="12" t="str">
        <f ca="1">IFERROR(__xludf.DUMMYFUNCTION("""COMPUTED_VALUE"""),"круг")</f>
        <v>круг</v>
      </c>
      <c r="C853" s="7" t="str">
        <f ca="1">IFERROR(__xludf.DUMMYFUNCTION("""COMPUTED_VALUE"""),"38хм")</f>
        <v>38хм</v>
      </c>
      <c r="D853" s="13">
        <f ca="1">IFERROR(__xludf.DUMMYFUNCTION("""COMPUTED_VALUE"""),90)</f>
        <v>90</v>
      </c>
      <c r="E853" s="13"/>
      <c r="F853" s="14" t="str">
        <f ca="1">IFERROR(__xludf.DUMMYFUNCTION("""COMPUTED_VALUE"""),"3ГП . В1,ll од 4000-5500")</f>
        <v>3ГП . В1,ll од 4000-5500</v>
      </c>
      <c r="G853" s="15">
        <f ca="1">IFERROR(__xludf.DUMMYFUNCTION("""COMPUTED_VALUE"""),0.145999999999999)</f>
        <v>0.14599999999999899</v>
      </c>
      <c r="H853" s="15"/>
      <c r="I853" s="16">
        <f ca="1">IFERROR(__xludf.DUMMYFUNCTION("""COMPUTED_VALUE"""),140000)</f>
        <v>140000</v>
      </c>
    </row>
    <row r="854" spans="2:9" x14ac:dyDescent="0.3">
      <c r="B854" s="12" t="str">
        <f ca="1">IFERROR(__xludf.DUMMYFUNCTION("""COMPUTED_VALUE"""),"круг")</f>
        <v>круг</v>
      </c>
      <c r="C854" s="7" t="str">
        <f ca="1">IFERROR(__xludf.DUMMYFUNCTION("""COMPUTED_VALUE"""),"38хм")</f>
        <v>38хм</v>
      </c>
      <c r="D854" s="13">
        <f ca="1">IFERROR(__xludf.DUMMYFUNCTION("""COMPUTED_VALUE"""),90)</f>
        <v>90</v>
      </c>
      <c r="E854" s="13"/>
      <c r="F854" s="14" t="str">
        <f ca="1">IFERROR(__xludf.DUMMYFUNCTION("""COMPUTED_VALUE"""),"ГОСТ4543/2590. 2гп")</f>
        <v>ГОСТ4543/2590. 2гп</v>
      </c>
      <c r="G854" s="15">
        <f ca="1">IFERROR(__xludf.DUMMYFUNCTION("""COMPUTED_VALUE"""),4.39)</f>
        <v>4.3899999999999997</v>
      </c>
      <c r="H854" s="15"/>
      <c r="I854" s="16">
        <f ca="1">IFERROR(__xludf.DUMMYFUNCTION("""COMPUTED_VALUE"""),140000)</f>
        <v>140000</v>
      </c>
    </row>
    <row r="855" spans="2:9" x14ac:dyDescent="0.3">
      <c r="B855" s="12" t="str">
        <f ca="1">IFERROR(__xludf.DUMMYFUNCTION("""COMPUTED_VALUE"""),"круг")</f>
        <v>круг</v>
      </c>
      <c r="C855" s="7" t="str">
        <f ca="1">IFERROR(__xludf.DUMMYFUNCTION("""COMPUTED_VALUE"""),"38хм")</f>
        <v>38хм</v>
      </c>
      <c r="D855" s="13">
        <f ca="1">IFERROR(__xludf.DUMMYFUNCTION("""COMPUTED_VALUE"""),90)</f>
        <v>90</v>
      </c>
      <c r="E855" s="13"/>
      <c r="F855" s="14" t="str">
        <f ca="1">IFERROR(__xludf.DUMMYFUNCTION("""COMPUTED_VALUE"""),"2ГП , В1, ")</f>
        <v xml:space="preserve">2ГП , В1, </v>
      </c>
      <c r="G855" s="15">
        <f ca="1">IFERROR(__xludf.DUMMYFUNCTION("""COMPUTED_VALUE"""),4.36)</f>
        <v>4.3600000000000003</v>
      </c>
      <c r="H855" s="15"/>
      <c r="I855" s="16">
        <f ca="1">IFERROR(__xludf.DUMMYFUNCTION("""COMPUTED_VALUE"""),140000)</f>
        <v>140000</v>
      </c>
    </row>
    <row r="856" spans="2:9" x14ac:dyDescent="0.3">
      <c r="B856" s="12" t="str">
        <f ca="1">IFERROR(__xludf.DUMMYFUNCTION("""COMPUTED_VALUE"""),"круг")</f>
        <v>круг</v>
      </c>
      <c r="C856" s="7" t="str">
        <f ca="1">IFERROR(__xludf.DUMMYFUNCTION("""COMPUTED_VALUE"""),"38хм")</f>
        <v>38хм</v>
      </c>
      <c r="D856" s="13">
        <f ca="1">IFERROR(__xludf.DUMMYFUNCTION("""COMPUTED_VALUE"""),90)</f>
        <v>90</v>
      </c>
      <c r="E856" s="13"/>
      <c r="F856" s="14" t="str">
        <f ca="1">IFERROR(__xludf.DUMMYFUNCTION("""COMPUTED_VALUE"""),"2ГП , В1, ")</f>
        <v xml:space="preserve">2ГП , В1, </v>
      </c>
      <c r="G856" s="15">
        <f ca="1">IFERROR(__xludf.DUMMYFUNCTION("""COMPUTED_VALUE"""),3.63999999999999)</f>
        <v>3.6399999999999899</v>
      </c>
      <c r="H856" s="15"/>
      <c r="I856" s="16">
        <f ca="1">IFERROR(__xludf.DUMMYFUNCTION("""COMPUTED_VALUE"""),140000)</f>
        <v>140000</v>
      </c>
    </row>
    <row r="857" spans="2:9" x14ac:dyDescent="0.3">
      <c r="B857" s="12" t="str">
        <f ca="1">IFERROR(__xludf.DUMMYFUNCTION("""COMPUTED_VALUE"""),"круг")</f>
        <v>круг</v>
      </c>
      <c r="C857" s="7" t="str">
        <f ca="1">IFERROR(__xludf.DUMMYFUNCTION("""COMPUTED_VALUE"""),"38хм")</f>
        <v>38хм</v>
      </c>
      <c r="D857" s="13">
        <f ca="1">IFERROR(__xludf.DUMMYFUNCTION("""COMPUTED_VALUE"""),95)</f>
        <v>95</v>
      </c>
      <c r="E857" s="13"/>
      <c r="F857" s="14" t="str">
        <f ca="1">IFERROR(__xludf.DUMMYFUNCTION("""COMPUTED_VALUE"""),"2ГП ")</f>
        <v xml:space="preserve">2ГП </v>
      </c>
      <c r="G857" s="15">
        <f ca="1">IFERROR(__xludf.DUMMYFUNCTION("""COMPUTED_VALUE"""),1.91799999999999)</f>
        <v>1.9179999999999899</v>
      </c>
      <c r="H857" s="15"/>
      <c r="I857" s="16">
        <f ca="1">IFERROR(__xludf.DUMMYFUNCTION("""COMPUTED_VALUE"""),140000)</f>
        <v>140000</v>
      </c>
    </row>
    <row r="858" spans="2:9" x14ac:dyDescent="0.3">
      <c r="B858" s="12" t="str">
        <f ca="1">IFERROR(__xludf.DUMMYFUNCTION("""COMPUTED_VALUE"""),"круг")</f>
        <v>круг</v>
      </c>
      <c r="C858" s="7" t="str">
        <f ca="1">IFERROR(__xludf.DUMMYFUNCTION("""COMPUTED_VALUE"""),"38хм")</f>
        <v>38хм</v>
      </c>
      <c r="D858" s="13">
        <f ca="1">IFERROR(__xludf.DUMMYFUNCTION("""COMPUTED_VALUE"""),100)</f>
        <v>100</v>
      </c>
      <c r="E858" s="13"/>
      <c r="F858" s="14" t="str">
        <f ca="1">IFERROR(__xludf.DUMMYFUNCTION("""COMPUTED_VALUE"""),"короткие")</f>
        <v>короткие</v>
      </c>
      <c r="G858" s="15">
        <f ca="1">IFERROR(__xludf.DUMMYFUNCTION("""COMPUTED_VALUE"""),0.106)</f>
        <v>0.106</v>
      </c>
      <c r="H858" s="15"/>
      <c r="I858" s="16">
        <f ca="1">IFERROR(__xludf.DUMMYFUNCTION("""COMPUTED_VALUE"""),140000)</f>
        <v>140000</v>
      </c>
    </row>
    <row r="859" spans="2:9" x14ac:dyDescent="0.3">
      <c r="B859" s="12" t="str">
        <f ca="1">IFERROR(__xludf.DUMMYFUNCTION("""COMPUTED_VALUE"""),"круг")</f>
        <v>круг</v>
      </c>
      <c r="C859" s="7" t="str">
        <f ca="1">IFERROR(__xludf.DUMMYFUNCTION("""COMPUTED_VALUE"""),"38хм")</f>
        <v>38хм</v>
      </c>
      <c r="D859" s="13">
        <f ca="1">IFERROR(__xludf.DUMMYFUNCTION("""COMPUTED_VALUE"""),100)</f>
        <v>100</v>
      </c>
      <c r="E859" s="13"/>
      <c r="F859" s="14" t="str">
        <f ca="1">IFERROR(__xludf.DUMMYFUNCTION("""COMPUTED_VALUE"""),"2ГП , В1, ")</f>
        <v xml:space="preserve">2ГП , В1, </v>
      </c>
      <c r="G859" s="15">
        <f ca="1">IFERROR(__xludf.DUMMYFUNCTION("""COMPUTED_VALUE"""),1.15)</f>
        <v>1.1499999999999999</v>
      </c>
      <c r="H859" s="15"/>
      <c r="I859" s="16">
        <f ca="1">IFERROR(__xludf.DUMMYFUNCTION("""COMPUTED_VALUE"""),140000)</f>
        <v>140000</v>
      </c>
    </row>
    <row r="860" spans="2:9" x14ac:dyDescent="0.3">
      <c r="B860" s="12" t="str">
        <f ca="1">IFERROR(__xludf.DUMMYFUNCTION("""COMPUTED_VALUE"""),"круг")</f>
        <v>круг</v>
      </c>
      <c r="C860" s="7" t="str">
        <f ca="1">IFERROR(__xludf.DUMMYFUNCTION("""COMPUTED_VALUE"""),"38хм")</f>
        <v>38хм</v>
      </c>
      <c r="D860" s="13">
        <f ca="1">IFERROR(__xludf.DUMMYFUNCTION("""COMPUTED_VALUE"""),105)</f>
        <v>105</v>
      </c>
      <c r="E860" s="13"/>
      <c r="F860" s="14" t="str">
        <f ca="1">IFERROR(__xludf.DUMMYFUNCTION("""COMPUTED_VALUE"""),"3ГП . В1,ll од 4000-5500")</f>
        <v>3ГП . В1,ll од 4000-5500</v>
      </c>
      <c r="G860" s="15">
        <f ca="1">IFERROR(__xludf.DUMMYFUNCTION("""COMPUTED_VALUE"""),0.937999999999999)</f>
        <v>0.93799999999999895</v>
      </c>
      <c r="H860" s="15"/>
      <c r="I860" s="16">
        <f ca="1">IFERROR(__xludf.DUMMYFUNCTION("""COMPUTED_VALUE"""),140000)</f>
        <v>140000</v>
      </c>
    </row>
    <row r="861" spans="2:9" x14ac:dyDescent="0.3">
      <c r="B861" s="12" t="str">
        <f ca="1">IFERROR(__xludf.DUMMYFUNCTION("""COMPUTED_VALUE"""),"круг")</f>
        <v>круг</v>
      </c>
      <c r="C861" s="7" t="str">
        <f ca="1">IFERROR(__xludf.DUMMYFUNCTION("""COMPUTED_VALUE"""),"38хм")</f>
        <v>38хм</v>
      </c>
      <c r="D861" s="13">
        <f ca="1">IFERROR(__xludf.DUMMYFUNCTION("""COMPUTED_VALUE"""),105)</f>
        <v>105</v>
      </c>
      <c r="E861" s="13"/>
      <c r="F861" s="14" t="str">
        <f ca="1">IFERROR(__xludf.DUMMYFUNCTION("""COMPUTED_VALUE"""),"3ГП . В1,ll од 4000-5500")</f>
        <v>3ГП . В1,ll од 4000-5500</v>
      </c>
      <c r="G861" s="15">
        <f ca="1">IFERROR(__xludf.DUMMYFUNCTION("""COMPUTED_VALUE"""),1.232)</f>
        <v>1.232</v>
      </c>
      <c r="H861" s="15"/>
      <c r="I861" s="16">
        <f ca="1">IFERROR(__xludf.DUMMYFUNCTION("""COMPUTED_VALUE"""),140000)</f>
        <v>140000</v>
      </c>
    </row>
    <row r="862" spans="2:9" x14ac:dyDescent="0.3">
      <c r="B862" s="12" t="str">
        <f ca="1">IFERROR(__xludf.DUMMYFUNCTION("""COMPUTED_VALUE"""),"круг")</f>
        <v>круг</v>
      </c>
      <c r="C862" s="7" t="str">
        <f ca="1">IFERROR(__xludf.DUMMYFUNCTION("""COMPUTED_VALUE"""),"38хм")</f>
        <v>38хм</v>
      </c>
      <c r="D862" s="13">
        <f ca="1">IFERROR(__xludf.DUMMYFUNCTION("""COMPUTED_VALUE"""),110)</f>
        <v>110</v>
      </c>
      <c r="E862" s="13"/>
      <c r="F862" s="14" t="str">
        <f ca="1">IFERROR(__xludf.DUMMYFUNCTION("""COMPUTED_VALUE"""),"2ГП ")</f>
        <v xml:space="preserve">2ГП </v>
      </c>
      <c r="G862" s="15">
        <f ca="1">IFERROR(__xludf.DUMMYFUNCTION("""COMPUTED_VALUE"""),0.0779999999999998)</f>
        <v>7.7999999999999806E-2</v>
      </c>
      <c r="H862" s="15"/>
      <c r="I862" s="16">
        <f ca="1">IFERROR(__xludf.DUMMYFUNCTION("""COMPUTED_VALUE"""),140000)</f>
        <v>140000</v>
      </c>
    </row>
    <row r="863" spans="2:9" x14ac:dyDescent="0.3">
      <c r="B863" s="12" t="str">
        <f ca="1">IFERROR(__xludf.DUMMYFUNCTION("""COMPUTED_VALUE"""),"круг")</f>
        <v>круг</v>
      </c>
      <c r="C863" s="7" t="str">
        <f ca="1">IFERROR(__xludf.DUMMYFUNCTION("""COMPUTED_VALUE"""),"38хм")</f>
        <v>38хм</v>
      </c>
      <c r="D863" s="13">
        <f ca="1">IFERROR(__xludf.DUMMYFUNCTION("""COMPUTED_VALUE"""),110)</f>
        <v>110</v>
      </c>
      <c r="E863" s="13"/>
      <c r="F863" s="14" t="str">
        <f ca="1">IFERROR(__xludf.DUMMYFUNCTION("""COMPUTED_VALUE"""),"ГОСТ4543/2590. 2гп")</f>
        <v>ГОСТ4543/2590. 2гп</v>
      </c>
      <c r="G863" s="15">
        <f ca="1">IFERROR(__xludf.DUMMYFUNCTION("""COMPUTED_VALUE"""),1.646)</f>
        <v>1.6459999999999999</v>
      </c>
      <c r="H863" s="15"/>
      <c r="I863" s="16">
        <f ca="1">IFERROR(__xludf.DUMMYFUNCTION("""COMPUTED_VALUE"""),140000)</f>
        <v>140000</v>
      </c>
    </row>
    <row r="864" spans="2:9" x14ac:dyDescent="0.3">
      <c r="B864" s="12" t="str">
        <f ca="1">IFERROR(__xludf.DUMMYFUNCTION("""COMPUTED_VALUE"""),"круг")</f>
        <v>круг</v>
      </c>
      <c r="C864" s="7" t="str">
        <f ca="1">IFERROR(__xludf.DUMMYFUNCTION("""COMPUTED_VALUE"""),"38хм")</f>
        <v>38хм</v>
      </c>
      <c r="D864" s="13">
        <f ca="1">IFERROR(__xludf.DUMMYFUNCTION("""COMPUTED_VALUE"""),110)</f>
        <v>110</v>
      </c>
      <c r="E864" s="13"/>
      <c r="F864" s="14" t="str">
        <f ca="1">IFERROR(__xludf.DUMMYFUNCTION("""COMPUTED_VALUE"""),"2ГП , В1, ")</f>
        <v xml:space="preserve">2ГП , В1, </v>
      </c>
      <c r="G864" s="15">
        <f ca="1">IFERROR(__xludf.DUMMYFUNCTION("""COMPUTED_VALUE"""),5)</f>
        <v>5</v>
      </c>
      <c r="H864" s="15"/>
      <c r="I864" s="16">
        <f ca="1">IFERROR(__xludf.DUMMYFUNCTION("""COMPUTED_VALUE"""),140000)</f>
        <v>140000</v>
      </c>
    </row>
    <row r="865" spans="2:9" x14ac:dyDescent="0.3">
      <c r="B865" s="12" t="str">
        <f ca="1">IFERROR(__xludf.DUMMYFUNCTION("""COMPUTED_VALUE"""),"круг")</f>
        <v>круг</v>
      </c>
      <c r="C865" s="7" t="str">
        <f ca="1">IFERROR(__xludf.DUMMYFUNCTION("""COMPUTED_VALUE"""),"38хм")</f>
        <v>38хм</v>
      </c>
      <c r="D865" s="13">
        <f ca="1">IFERROR(__xludf.DUMMYFUNCTION("""COMPUTED_VALUE"""),115)</f>
        <v>115</v>
      </c>
      <c r="E865" s="13"/>
      <c r="F865" s="14" t="str">
        <f ca="1">IFERROR(__xludf.DUMMYFUNCTION("""COMPUTED_VALUE"""),"2ГП ")</f>
        <v xml:space="preserve">2ГП </v>
      </c>
      <c r="G865" s="15">
        <f ca="1">IFERROR(__xludf.DUMMYFUNCTION("""COMPUTED_VALUE"""),1.99099999999999)</f>
        <v>1.9909999999999899</v>
      </c>
      <c r="H865" s="15"/>
      <c r="I865" s="16">
        <f ca="1">IFERROR(__xludf.DUMMYFUNCTION("""COMPUTED_VALUE"""),140000)</f>
        <v>140000</v>
      </c>
    </row>
    <row r="866" spans="2:9" x14ac:dyDescent="0.3">
      <c r="B866" s="12" t="str">
        <f ca="1">IFERROR(__xludf.DUMMYFUNCTION("""COMPUTED_VALUE"""),"круг")</f>
        <v>круг</v>
      </c>
      <c r="C866" s="7" t="str">
        <f ca="1">IFERROR(__xludf.DUMMYFUNCTION("""COMPUTED_VALUE"""),"38хм")</f>
        <v>38хм</v>
      </c>
      <c r="D866" s="13">
        <f ca="1">IFERROR(__xludf.DUMMYFUNCTION("""COMPUTED_VALUE"""),115)</f>
        <v>115</v>
      </c>
      <c r="E866" s="13"/>
      <c r="F866" s="14" t="str">
        <f ca="1">IFERROR(__xludf.DUMMYFUNCTION("""COMPUTED_VALUE"""),"2ГП отжиг")</f>
        <v>2ГП отжиг</v>
      </c>
      <c r="G866" s="15">
        <f ca="1">IFERROR(__xludf.DUMMYFUNCTION("""COMPUTED_VALUE"""),3.26)</f>
        <v>3.26</v>
      </c>
      <c r="H866" s="15"/>
      <c r="I866" s="16">
        <f ca="1">IFERROR(__xludf.DUMMYFUNCTION("""COMPUTED_VALUE"""),140000)</f>
        <v>140000</v>
      </c>
    </row>
    <row r="867" spans="2:9" x14ac:dyDescent="0.3">
      <c r="B867" s="12" t="str">
        <f ca="1">IFERROR(__xludf.DUMMYFUNCTION("""COMPUTED_VALUE"""),"круг")</f>
        <v>круг</v>
      </c>
      <c r="C867" s="7" t="str">
        <f ca="1">IFERROR(__xludf.DUMMYFUNCTION("""COMPUTED_VALUE"""),"38хм")</f>
        <v>38хм</v>
      </c>
      <c r="D867" s="13">
        <f ca="1">IFERROR(__xludf.DUMMYFUNCTION("""COMPUTED_VALUE"""),115)</f>
        <v>115</v>
      </c>
      <c r="E867" s="13"/>
      <c r="F867" s="14" t="str">
        <f ca="1">IFERROR(__xludf.DUMMYFUNCTION("""COMPUTED_VALUE"""),"2ГП отжиг")</f>
        <v>2ГП отжиг</v>
      </c>
      <c r="G867" s="15">
        <f ca="1">IFERROR(__xludf.DUMMYFUNCTION("""COMPUTED_VALUE"""),2.39)</f>
        <v>2.39</v>
      </c>
      <c r="H867" s="15"/>
      <c r="I867" s="16">
        <f ca="1">IFERROR(__xludf.DUMMYFUNCTION("""COMPUTED_VALUE"""),140000)</f>
        <v>140000</v>
      </c>
    </row>
    <row r="868" spans="2:9" x14ac:dyDescent="0.3">
      <c r="B868" s="12" t="str">
        <f ca="1">IFERROR(__xludf.DUMMYFUNCTION("""COMPUTED_VALUE"""),"круг")</f>
        <v>круг</v>
      </c>
      <c r="C868" s="7" t="str">
        <f ca="1">IFERROR(__xludf.DUMMYFUNCTION("""COMPUTED_VALUE"""),"38хм")</f>
        <v>38хм</v>
      </c>
      <c r="D868" s="13">
        <f ca="1">IFERROR(__xludf.DUMMYFUNCTION("""COMPUTED_VALUE"""),115)</f>
        <v>115</v>
      </c>
      <c r="E868" s="13"/>
      <c r="F868" s="14" t="str">
        <f ca="1">IFERROR(__xludf.DUMMYFUNCTION("""COMPUTED_VALUE"""),"2ГП отжиг")</f>
        <v>2ГП отжиг</v>
      </c>
      <c r="G868" s="15">
        <f ca="1">IFERROR(__xludf.DUMMYFUNCTION("""COMPUTED_VALUE"""),0.77)</f>
        <v>0.77</v>
      </c>
      <c r="H868" s="15"/>
      <c r="I868" s="16">
        <f ca="1">IFERROR(__xludf.DUMMYFUNCTION("""COMPUTED_VALUE"""),140000)</f>
        <v>140000</v>
      </c>
    </row>
    <row r="869" spans="2:9" x14ac:dyDescent="0.3">
      <c r="B869" s="12" t="str">
        <f ca="1">IFERROR(__xludf.DUMMYFUNCTION("""COMPUTED_VALUE"""),"круг")</f>
        <v>круг</v>
      </c>
      <c r="C869" s="7" t="str">
        <f ca="1">IFERROR(__xludf.DUMMYFUNCTION("""COMPUTED_VALUE"""),"38хм")</f>
        <v>38хм</v>
      </c>
      <c r="D869" s="13">
        <f ca="1">IFERROR(__xludf.DUMMYFUNCTION("""COMPUTED_VALUE"""),120)</f>
        <v>120</v>
      </c>
      <c r="E869" s="13"/>
      <c r="F869" s="14" t="str">
        <f ca="1">IFERROR(__xludf.DUMMYFUNCTION("""COMPUTED_VALUE"""),"3ГП . В1,ll од 4000-5500")</f>
        <v>3ГП . В1,ll од 4000-5500</v>
      </c>
      <c r="G869" s="15">
        <f ca="1">IFERROR(__xludf.DUMMYFUNCTION("""COMPUTED_VALUE"""),2.07)</f>
        <v>2.0699999999999998</v>
      </c>
      <c r="H869" s="15"/>
      <c r="I869" s="16">
        <f ca="1">IFERROR(__xludf.DUMMYFUNCTION("""COMPUTED_VALUE"""),140000)</f>
        <v>140000</v>
      </c>
    </row>
    <row r="870" spans="2:9" x14ac:dyDescent="0.3">
      <c r="B870" s="12" t="str">
        <f ca="1">IFERROR(__xludf.DUMMYFUNCTION("""COMPUTED_VALUE"""),"круг")</f>
        <v>круг</v>
      </c>
      <c r="C870" s="7" t="str">
        <f ca="1">IFERROR(__xludf.DUMMYFUNCTION("""COMPUTED_VALUE"""),"38хм")</f>
        <v>38хм</v>
      </c>
      <c r="D870" s="13">
        <f ca="1">IFERROR(__xludf.DUMMYFUNCTION("""COMPUTED_VALUE"""),120)</f>
        <v>120</v>
      </c>
      <c r="E870" s="13"/>
      <c r="F870" s="14" t="str">
        <f ca="1">IFERROR(__xludf.DUMMYFUNCTION("""COMPUTED_VALUE"""),"3ГП . В1,ll од 4000-5500")</f>
        <v>3ГП . В1,ll од 4000-5500</v>
      </c>
      <c r="G870" s="15">
        <f ca="1">IFERROR(__xludf.DUMMYFUNCTION("""COMPUTED_VALUE"""),4.668)</f>
        <v>4.6680000000000001</v>
      </c>
      <c r="H870" s="15"/>
      <c r="I870" s="16">
        <f ca="1">IFERROR(__xludf.DUMMYFUNCTION("""COMPUTED_VALUE"""),140000)</f>
        <v>140000</v>
      </c>
    </row>
    <row r="871" spans="2:9" x14ac:dyDescent="0.3">
      <c r="B871" s="12" t="str">
        <f ca="1">IFERROR(__xludf.DUMMYFUNCTION("""COMPUTED_VALUE"""),"круг")</f>
        <v>круг</v>
      </c>
      <c r="C871" s="7" t="str">
        <f ca="1">IFERROR(__xludf.DUMMYFUNCTION("""COMPUTED_VALUE"""),"38хм")</f>
        <v>38хм</v>
      </c>
      <c r="D871" s="13">
        <f ca="1">IFERROR(__xludf.DUMMYFUNCTION("""COMPUTED_VALUE"""),120)</f>
        <v>120</v>
      </c>
      <c r="E871" s="13"/>
      <c r="F871" s="14" t="str">
        <f ca="1">IFERROR(__xludf.DUMMYFUNCTION("""COMPUTED_VALUE"""),"3ГП . В1,ll од 4000-5500")</f>
        <v>3ГП . В1,ll од 4000-5500</v>
      </c>
      <c r="G871" s="15">
        <f ca="1">IFERROR(__xludf.DUMMYFUNCTION("""COMPUTED_VALUE"""),0.927)</f>
        <v>0.92700000000000005</v>
      </c>
      <c r="H871" s="15"/>
      <c r="I871" s="16">
        <f ca="1">IFERROR(__xludf.DUMMYFUNCTION("""COMPUTED_VALUE"""),140000)</f>
        <v>140000</v>
      </c>
    </row>
    <row r="872" spans="2:9" x14ac:dyDescent="0.3">
      <c r="B872" s="12" t="str">
        <f ca="1">IFERROR(__xludf.DUMMYFUNCTION("""COMPUTED_VALUE"""),"круг")</f>
        <v>круг</v>
      </c>
      <c r="C872" s="7" t="str">
        <f ca="1">IFERROR(__xludf.DUMMYFUNCTION("""COMPUTED_VALUE"""),"38хм")</f>
        <v>38хм</v>
      </c>
      <c r="D872" s="13">
        <f ca="1">IFERROR(__xludf.DUMMYFUNCTION("""COMPUTED_VALUE"""),130)</f>
        <v>130</v>
      </c>
      <c r="E872" s="13"/>
      <c r="F872" s="14" t="str">
        <f ca="1">IFERROR(__xludf.DUMMYFUNCTION("""COMPUTED_VALUE"""),"2ГП , В1, ll")</f>
        <v>2ГП , В1, ll</v>
      </c>
      <c r="G872" s="15">
        <f ca="1">IFERROR(__xludf.DUMMYFUNCTION("""COMPUTED_VALUE"""),4.43)</f>
        <v>4.43</v>
      </c>
      <c r="H872" s="15"/>
      <c r="I872" s="16">
        <f ca="1">IFERROR(__xludf.DUMMYFUNCTION("""COMPUTED_VALUE"""),140000)</f>
        <v>140000</v>
      </c>
    </row>
    <row r="873" spans="2:9" x14ac:dyDescent="0.3">
      <c r="B873" s="12" t="str">
        <f ca="1">IFERROR(__xludf.DUMMYFUNCTION("""COMPUTED_VALUE"""),"круг")</f>
        <v>круг</v>
      </c>
      <c r="C873" s="7" t="str">
        <f ca="1">IFERROR(__xludf.DUMMYFUNCTION("""COMPUTED_VALUE"""),"38хм")</f>
        <v>38хм</v>
      </c>
      <c r="D873" s="13">
        <f ca="1">IFERROR(__xludf.DUMMYFUNCTION("""COMPUTED_VALUE"""),130)</f>
        <v>130</v>
      </c>
      <c r="E873" s="13"/>
      <c r="F873" s="14" t="str">
        <f ca="1">IFERROR(__xludf.DUMMYFUNCTION("""COMPUTED_VALUE"""),"2ГП , В1, ll")</f>
        <v>2ГП , В1, ll</v>
      </c>
      <c r="G873" s="15">
        <f ca="1">IFERROR(__xludf.DUMMYFUNCTION("""COMPUTED_VALUE"""),5.15)</f>
        <v>5.15</v>
      </c>
      <c r="H873" s="15"/>
      <c r="I873" s="16">
        <f ca="1">IFERROR(__xludf.DUMMYFUNCTION("""COMPUTED_VALUE"""),140000)</f>
        <v>140000</v>
      </c>
    </row>
    <row r="874" spans="2:9" x14ac:dyDescent="0.3">
      <c r="B874" s="12" t="str">
        <f ca="1">IFERROR(__xludf.DUMMYFUNCTION("""COMPUTED_VALUE"""),"круг")</f>
        <v>круг</v>
      </c>
      <c r="C874" s="7" t="str">
        <f ca="1">IFERROR(__xludf.DUMMYFUNCTION("""COMPUTED_VALUE"""),"38хм")</f>
        <v>38хм</v>
      </c>
      <c r="D874" s="13">
        <f ca="1">IFERROR(__xludf.DUMMYFUNCTION("""COMPUTED_VALUE"""),130)</f>
        <v>130</v>
      </c>
      <c r="E874" s="13"/>
      <c r="F874" s="14" t="str">
        <f ca="1">IFERROR(__xludf.DUMMYFUNCTION("""COMPUTED_VALUE"""),"2ГП , В1, ll")</f>
        <v>2ГП , В1, ll</v>
      </c>
      <c r="G874" s="15">
        <f ca="1">IFERROR(__xludf.DUMMYFUNCTION("""COMPUTED_VALUE"""),4.1)</f>
        <v>4.0999999999999996</v>
      </c>
      <c r="H874" s="15"/>
      <c r="I874" s="16">
        <f ca="1">IFERROR(__xludf.DUMMYFUNCTION("""COMPUTED_VALUE"""),140000)</f>
        <v>140000</v>
      </c>
    </row>
    <row r="875" spans="2:9" x14ac:dyDescent="0.3">
      <c r="B875" s="12" t="str">
        <f ca="1">IFERROR(__xludf.DUMMYFUNCTION("""COMPUTED_VALUE"""),"круг")</f>
        <v>круг</v>
      </c>
      <c r="C875" s="7" t="str">
        <f ca="1">IFERROR(__xludf.DUMMYFUNCTION("""COMPUTED_VALUE"""),"38хм")</f>
        <v>38хм</v>
      </c>
      <c r="D875" s="13">
        <f ca="1">IFERROR(__xludf.DUMMYFUNCTION("""COMPUTED_VALUE"""),130)</f>
        <v>130</v>
      </c>
      <c r="E875" s="13"/>
      <c r="F875" s="14" t="str">
        <f ca="1">IFERROR(__xludf.DUMMYFUNCTION("""COMPUTED_VALUE"""),"2ГП , В1, ll")</f>
        <v>2ГП , В1, ll</v>
      </c>
      <c r="G875" s="15">
        <f ca="1">IFERROR(__xludf.DUMMYFUNCTION("""COMPUTED_VALUE"""),5)</f>
        <v>5</v>
      </c>
      <c r="H875" s="15"/>
      <c r="I875" s="16">
        <f ca="1">IFERROR(__xludf.DUMMYFUNCTION("""COMPUTED_VALUE"""),140000)</f>
        <v>140000</v>
      </c>
    </row>
    <row r="876" spans="2:9" x14ac:dyDescent="0.3">
      <c r="B876" s="12" t="str">
        <f ca="1">IFERROR(__xludf.DUMMYFUNCTION("""COMPUTED_VALUE"""),"круг")</f>
        <v>круг</v>
      </c>
      <c r="C876" s="7" t="str">
        <f ca="1">IFERROR(__xludf.DUMMYFUNCTION("""COMPUTED_VALUE"""),"38хм")</f>
        <v>38хм</v>
      </c>
      <c r="D876" s="13">
        <f ca="1">IFERROR(__xludf.DUMMYFUNCTION("""COMPUTED_VALUE"""),140)</f>
        <v>140</v>
      </c>
      <c r="E876" s="13"/>
      <c r="F876" s="14" t="str">
        <f ca="1">IFERROR(__xludf.DUMMYFUNCTION("""COMPUTED_VALUE"""),"3ГП . В1,ll од 4000-5500")</f>
        <v>3ГП . В1,ll од 4000-5500</v>
      </c>
      <c r="G876" s="15">
        <f ca="1">IFERROR(__xludf.DUMMYFUNCTION("""COMPUTED_VALUE"""),2.927)</f>
        <v>2.927</v>
      </c>
      <c r="H876" s="15"/>
      <c r="I876" s="16">
        <f ca="1">IFERROR(__xludf.DUMMYFUNCTION("""COMPUTED_VALUE"""),140000)</f>
        <v>140000</v>
      </c>
    </row>
    <row r="877" spans="2:9" x14ac:dyDescent="0.3">
      <c r="B877" s="12" t="str">
        <f ca="1">IFERROR(__xludf.DUMMYFUNCTION("""COMPUTED_VALUE"""),"круг")</f>
        <v>круг</v>
      </c>
      <c r="C877" s="7" t="str">
        <f ca="1">IFERROR(__xludf.DUMMYFUNCTION("""COMPUTED_VALUE"""),"38хм")</f>
        <v>38хм</v>
      </c>
      <c r="D877" s="13">
        <f ca="1">IFERROR(__xludf.DUMMYFUNCTION("""COMPUTED_VALUE"""),140)</f>
        <v>140</v>
      </c>
      <c r="E877" s="13"/>
      <c r="F877" s="14" t="str">
        <f ca="1">IFERROR(__xludf.DUMMYFUNCTION("""COMPUTED_VALUE"""),"2ГП , В1, ll")</f>
        <v>2ГП , В1, ll</v>
      </c>
      <c r="G877" s="15">
        <f ca="1">IFERROR(__xludf.DUMMYFUNCTION("""COMPUTED_VALUE"""),4.2)</f>
        <v>4.2</v>
      </c>
      <c r="H877" s="15"/>
      <c r="I877" s="16">
        <f ca="1">IFERROR(__xludf.DUMMYFUNCTION("""COMPUTED_VALUE"""),140000)</f>
        <v>140000</v>
      </c>
    </row>
    <row r="878" spans="2:9" x14ac:dyDescent="0.3">
      <c r="B878" s="12" t="str">
        <f ca="1">IFERROR(__xludf.DUMMYFUNCTION("""COMPUTED_VALUE"""),"круг")</f>
        <v>круг</v>
      </c>
      <c r="C878" s="7" t="str">
        <f ca="1">IFERROR(__xludf.DUMMYFUNCTION("""COMPUTED_VALUE"""),"38хм")</f>
        <v>38хм</v>
      </c>
      <c r="D878" s="13">
        <f ca="1">IFERROR(__xludf.DUMMYFUNCTION("""COMPUTED_VALUE"""),140)</f>
        <v>140</v>
      </c>
      <c r="E878" s="13"/>
      <c r="F878" s="14" t="str">
        <f ca="1">IFERROR(__xludf.DUMMYFUNCTION("""COMPUTED_VALUE"""),"2ГП , В1, ll")</f>
        <v>2ГП , В1, ll</v>
      </c>
      <c r="G878" s="15">
        <f ca="1">IFERROR(__xludf.DUMMYFUNCTION("""COMPUTED_VALUE"""),5.3)</f>
        <v>5.3</v>
      </c>
      <c r="H878" s="15"/>
      <c r="I878" s="16">
        <f ca="1">IFERROR(__xludf.DUMMYFUNCTION("""COMPUTED_VALUE"""),140000)</f>
        <v>140000</v>
      </c>
    </row>
    <row r="879" spans="2:9" x14ac:dyDescent="0.3">
      <c r="B879" s="12" t="str">
        <f ca="1">IFERROR(__xludf.DUMMYFUNCTION("""COMPUTED_VALUE"""),"круг")</f>
        <v>круг</v>
      </c>
      <c r="C879" s="7" t="str">
        <f ca="1">IFERROR(__xludf.DUMMYFUNCTION("""COMPUTED_VALUE"""),"38хм")</f>
        <v>38хм</v>
      </c>
      <c r="D879" s="13">
        <f ca="1">IFERROR(__xludf.DUMMYFUNCTION("""COMPUTED_VALUE"""),140)</f>
        <v>140</v>
      </c>
      <c r="E879" s="13"/>
      <c r="F879" s="14" t="str">
        <f ca="1">IFERROR(__xludf.DUMMYFUNCTION("""COMPUTED_VALUE"""),"2ГП , В1, ll")</f>
        <v>2ГП , В1, ll</v>
      </c>
      <c r="G879" s="15">
        <f ca="1">IFERROR(__xludf.DUMMYFUNCTION("""COMPUTED_VALUE"""),5.3)</f>
        <v>5.3</v>
      </c>
      <c r="H879" s="15"/>
      <c r="I879" s="16">
        <f ca="1">IFERROR(__xludf.DUMMYFUNCTION("""COMPUTED_VALUE"""),140000)</f>
        <v>140000</v>
      </c>
    </row>
    <row r="880" spans="2:9" x14ac:dyDescent="0.3">
      <c r="B880" s="12" t="str">
        <f ca="1">IFERROR(__xludf.DUMMYFUNCTION("""COMPUTED_VALUE"""),"круг")</f>
        <v>круг</v>
      </c>
      <c r="C880" s="7" t="str">
        <f ca="1">IFERROR(__xludf.DUMMYFUNCTION("""COMPUTED_VALUE"""),"38хм")</f>
        <v>38хм</v>
      </c>
      <c r="D880" s="13">
        <f ca="1">IFERROR(__xludf.DUMMYFUNCTION("""COMPUTED_VALUE"""),140)</f>
        <v>140</v>
      </c>
      <c r="E880" s="13"/>
      <c r="F880" s="14"/>
      <c r="G880" s="15">
        <f ca="1">IFERROR(__xludf.DUMMYFUNCTION("""COMPUTED_VALUE"""),2.96)</f>
        <v>2.96</v>
      </c>
      <c r="H880" s="15"/>
      <c r="I880" s="16">
        <f ca="1">IFERROR(__xludf.DUMMYFUNCTION("""COMPUTED_VALUE"""),140000)</f>
        <v>140000</v>
      </c>
    </row>
    <row r="881" spans="2:9" x14ac:dyDescent="0.3">
      <c r="B881" s="12" t="str">
        <f ca="1">IFERROR(__xludf.DUMMYFUNCTION("""COMPUTED_VALUE"""),"круг")</f>
        <v>круг</v>
      </c>
      <c r="C881" s="7" t="str">
        <f ca="1">IFERROR(__xludf.DUMMYFUNCTION("""COMPUTED_VALUE"""),"38хм")</f>
        <v>38хм</v>
      </c>
      <c r="D881" s="13">
        <f ca="1">IFERROR(__xludf.DUMMYFUNCTION("""COMPUTED_VALUE"""),150)</f>
        <v>150</v>
      </c>
      <c r="E881" s="13"/>
      <c r="F881" s="14" t="str">
        <f ca="1">IFERROR(__xludf.DUMMYFUNCTION("""COMPUTED_VALUE"""),"2ГП ")</f>
        <v xml:space="preserve">2ГП </v>
      </c>
      <c r="G881" s="15">
        <f ca="1">IFERROR(__xludf.DUMMYFUNCTION("""COMPUTED_VALUE"""),0.0360000000000004)</f>
        <v>3.60000000000004E-2</v>
      </c>
      <c r="H881" s="15"/>
      <c r="I881" s="16">
        <f ca="1">IFERROR(__xludf.DUMMYFUNCTION("""COMPUTED_VALUE"""),140000)</f>
        <v>140000</v>
      </c>
    </row>
    <row r="882" spans="2:9" x14ac:dyDescent="0.3">
      <c r="B882" s="12" t="str">
        <f ca="1">IFERROR(__xludf.DUMMYFUNCTION("""COMPUTED_VALUE"""),"круг")</f>
        <v>круг</v>
      </c>
      <c r="C882" s="7" t="str">
        <f ca="1">IFERROR(__xludf.DUMMYFUNCTION("""COMPUTED_VALUE"""),"38хм")</f>
        <v>38хм</v>
      </c>
      <c r="D882" s="13">
        <f ca="1">IFERROR(__xludf.DUMMYFUNCTION("""COMPUTED_VALUE"""),150)</f>
        <v>150</v>
      </c>
      <c r="E882" s="13"/>
      <c r="F882" s="14" t="str">
        <f ca="1">IFERROR(__xludf.DUMMYFUNCTION("""COMPUTED_VALUE"""),"2ГП ")</f>
        <v xml:space="preserve">2ГП </v>
      </c>
      <c r="G882" s="15">
        <f ca="1">IFERROR(__xludf.DUMMYFUNCTION("""COMPUTED_VALUE"""),1.05299999999999)</f>
        <v>1.0529999999999899</v>
      </c>
      <c r="H882" s="15"/>
      <c r="I882" s="16">
        <f ca="1">IFERROR(__xludf.DUMMYFUNCTION("""COMPUTED_VALUE"""),140000)</f>
        <v>140000</v>
      </c>
    </row>
    <row r="883" spans="2:9" x14ac:dyDescent="0.3">
      <c r="B883" s="12" t="str">
        <f ca="1">IFERROR(__xludf.DUMMYFUNCTION("""COMPUTED_VALUE"""),"круг")</f>
        <v>круг</v>
      </c>
      <c r="C883" s="7" t="str">
        <f ca="1">IFERROR(__xludf.DUMMYFUNCTION("""COMPUTED_VALUE"""),"38хм")</f>
        <v>38хм</v>
      </c>
      <c r="D883" s="13">
        <f ca="1">IFERROR(__xludf.DUMMYFUNCTION("""COMPUTED_VALUE"""),150)</f>
        <v>150</v>
      </c>
      <c r="E883" s="13"/>
      <c r="F883" s="14" t="str">
        <f ca="1">IFERROR(__xludf.DUMMYFUNCTION("""COMPUTED_VALUE"""),"3ГП . В1,ll од 4000-5500")</f>
        <v>3ГП . В1,ll од 4000-5500</v>
      </c>
      <c r="G883" s="15">
        <f ca="1">IFERROR(__xludf.DUMMYFUNCTION("""COMPUTED_VALUE"""),5.49)</f>
        <v>5.49</v>
      </c>
      <c r="H883" s="15"/>
      <c r="I883" s="16">
        <f ca="1">IFERROR(__xludf.DUMMYFUNCTION("""COMPUTED_VALUE"""),140000)</f>
        <v>140000</v>
      </c>
    </row>
    <row r="884" spans="2:9" x14ac:dyDescent="0.3">
      <c r="B884" s="12" t="str">
        <f ca="1">IFERROR(__xludf.DUMMYFUNCTION("""COMPUTED_VALUE"""),"круг")</f>
        <v>круг</v>
      </c>
      <c r="C884" s="7" t="str">
        <f ca="1">IFERROR(__xludf.DUMMYFUNCTION("""COMPUTED_VALUE"""),"38хм")</f>
        <v>38хм</v>
      </c>
      <c r="D884" s="13">
        <f ca="1">IFERROR(__xludf.DUMMYFUNCTION("""COMPUTED_VALUE"""),160)</f>
        <v>160</v>
      </c>
      <c r="E884" s="13"/>
      <c r="F884" s="14" t="str">
        <f ca="1">IFERROR(__xludf.DUMMYFUNCTION("""COMPUTED_VALUE"""),"3ГП . В1,ll од 4000-5500")</f>
        <v>3ГП . В1,ll од 4000-5500</v>
      </c>
      <c r="G884" s="15">
        <f ca="1">IFERROR(__xludf.DUMMYFUNCTION("""COMPUTED_VALUE"""),0.282)</f>
        <v>0.28199999999999997</v>
      </c>
      <c r="H884" s="15"/>
      <c r="I884" s="16">
        <f ca="1">IFERROR(__xludf.DUMMYFUNCTION("""COMPUTED_VALUE"""),140000)</f>
        <v>140000</v>
      </c>
    </row>
    <row r="885" spans="2:9" x14ac:dyDescent="0.3">
      <c r="B885" s="12" t="str">
        <f ca="1">IFERROR(__xludf.DUMMYFUNCTION("""COMPUTED_VALUE"""),"круг")</f>
        <v>круг</v>
      </c>
      <c r="C885" s="7" t="str">
        <f ca="1">IFERROR(__xludf.DUMMYFUNCTION("""COMPUTED_VALUE"""),"38хм")</f>
        <v>38хм</v>
      </c>
      <c r="D885" s="13">
        <f ca="1">IFERROR(__xludf.DUMMYFUNCTION("""COMPUTED_VALUE"""),160)</f>
        <v>160</v>
      </c>
      <c r="E885" s="13"/>
      <c r="F885" s="14" t="str">
        <f ca="1">IFERROR(__xludf.DUMMYFUNCTION("""COMPUTED_VALUE"""),"3ГП . В1,ll од 4000-5500")</f>
        <v>3ГП . В1,ll од 4000-5500</v>
      </c>
      <c r="G885" s="15">
        <f ca="1">IFERROR(__xludf.DUMMYFUNCTION("""COMPUTED_VALUE"""),4.252)</f>
        <v>4.2519999999999998</v>
      </c>
      <c r="H885" s="15"/>
      <c r="I885" s="16">
        <f ca="1">IFERROR(__xludf.DUMMYFUNCTION("""COMPUTED_VALUE"""),140000)</f>
        <v>140000</v>
      </c>
    </row>
    <row r="886" spans="2:9" x14ac:dyDescent="0.3">
      <c r="B886" s="12" t="str">
        <f ca="1">IFERROR(__xludf.DUMMYFUNCTION("""COMPUTED_VALUE"""),"круг")</f>
        <v>круг</v>
      </c>
      <c r="C886" s="7" t="str">
        <f ca="1">IFERROR(__xludf.DUMMYFUNCTION("""COMPUTED_VALUE"""),"38хм")</f>
        <v>38хм</v>
      </c>
      <c r="D886" s="13">
        <f ca="1">IFERROR(__xludf.DUMMYFUNCTION("""COMPUTED_VALUE"""),170)</f>
        <v>170</v>
      </c>
      <c r="E886" s="13"/>
      <c r="F886" s="14" t="str">
        <f ca="1">IFERROR(__xludf.DUMMYFUNCTION("""COMPUTED_VALUE"""),"3ГП, НМВ")</f>
        <v>3ГП, НМВ</v>
      </c>
      <c r="G886" s="15">
        <f ca="1">IFERROR(__xludf.DUMMYFUNCTION("""COMPUTED_VALUE"""),0.178)</f>
        <v>0.17799999999999999</v>
      </c>
      <c r="H886" s="15"/>
      <c r="I886" s="16">
        <f ca="1">IFERROR(__xludf.DUMMYFUNCTION("""COMPUTED_VALUE"""),140000)</f>
        <v>140000</v>
      </c>
    </row>
    <row r="887" spans="2:9" x14ac:dyDescent="0.3">
      <c r="B887" s="12" t="str">
        <f ca="1">IFERROR(__xludf.DUMMYFUNCTION("""COMPUTED_VALUE"""),"круг")</f>
        <v>круг</v>
      </c>
      <c r="C887" s="7" t="str">
        <f ca="1">IFERROR(__xludf.DUMMYFUNCTION("""COMPUTED_VALUE"""),"38хм")</f>
        <v>38хм</v>
      </c>
      <c r="D887" s="13">
        <f ca="1">IFERROR(__xludf.DUMMYFUNCTION("""COMPUTED_VALUE"""),170)</f>
        <v>170</v>
      </c>
      <c r="E887" s="13"/>
      <c r="F887" s="14" t="str">
        <f ca="1">IFERROR(__xludf.DUMMYFUNCTION("""COMPUTED_VALUE"""),"2ГП ")</f>
        <v xml:space="preserve">2ГП </v>
      </c>
      <c r="G887" s="15">
        <f ca="1">IFERROR(__xludf.DUMMYFUNCTION("""COMPUTED_VALUE"""),3.129)</f>
        <v>3.129</v>
      </c>
      <c r="H887" s="15"/>
      <c r="I887" s="16">
        <f ca="1">IFERROR(__xludf.DUMMYFUNCTION("""COMPUTED_VALUE"""),140000)</f>
        <v>140000</v>
      </c>
    </row>
    <row r="888" spans="2:9" x14ac:dyDescent="0.3">
      <c r="B888" s="12" t="str">
        <f ca="1">IFERROR(__xludf.DUMMYFUNCTION("""COMPUTED_VALUE"""),"круг")</f>
        <v>круг</v>
      </c>
      <c r="C888" s="7" t="str">
        <f ca="1">IFERROR(__xludf.DUMMYFUNCTION("""COMPUTED_VALUE"""),"38хм")</f>
        <v>38хм</v>
      </c>
      <c r="D888" s="13">
        <f ca="1">IFERROR(__xludf.DUMMYFUNCTION("""COMPUTED_VALUE"""),170)</f>
        <v>170</v>
      </c>
      <c r="E888" s="13"/>
      <c r="F888" s="14" t="str">
        <f ca="1">IFERROR(__xludf.DUMMYFUNCTION("""COMPUTED_VALUE"""),"3ГП . В1,ll од 4000-5500")</f>
        <v>3ГП . В1,ll од 4000-5500</v>
      </c>
      <c r="G888" s="15">
        <f ca="1">IFERROR(__xludf.DUMMYFUNCTION("""COMPUTED_VALUE"""),4.576)</f>
        <v>4.5759999999999996</v>
      </c>
      <c r="H888" s="15"/>
      <c r="I888" s="16">
        <f ca="1">IFERROR(__xludf.DUMMYFUNCTION("""COMPUTED_VALUE"""),140000)</f>
        <v>140000</v>
      </c>
    </row>
    <row r="889" spans="2:9" x14ac:dyDescent="0.3">
      <c r="B889" s="12" t="str">
        <f ca="1">IFERROR(__xludf.DUMMYFUNCTION("""COMPUTED_VALUE"""),"круг")</f>
        <v>круг</v>
      </c>
      <c r="C889" s="7" t="str">
        <f ca="1">IFERROR(__xludf.DUMMYFUNCTION("""COMPUTED_VALUE"""),"38хм")</f>
        <v>38хм</v>
      </c>
      <c r="D889" s="13">
        <f ca="1">IFERROR(__xludf.DUMMYFUNCTION("""COMPUTED_VALUE"""),170)</f>
        <v>170</v>
      </c>
      <c r="E889" s="13"/>
      <c r="F889" s="14" t="str">
        <f ca="1">IFERROR(__xludf.DUMMYFUNCTION("""COMPUTED_VALUE"""),"3ГП . В1,ll од 4000-5500")</f>
        <v>3ГП . В1,ll од 4000-5500</v>
      </c>
      <c r="G889" s="15">
        <f ca="1">IFERROR(__xludf.DUMMYFUNCTION("""COMPUTED_VALUE"""),0.916)</f>
        <v>0.91600000000000004</v>
      </c>
      <c r="H889" s="15"/>
      <c r="I889" s="16">
        <f ca="1">IFERROR(__xludf.DUMMYFUNCTION("""COMPUTED_VALUE"""),140000)</f>
        <v>140000</v>
      </c>
    </row>
    <row r="890" spans="2:9" x14ac:dyDescent="0.3">
      <c r="B890" s="12" t="str">
        <f ca="1">IFERROR(__xludf.DUMMYFUNCTION("""COMPUTED_VALUE"""),"круг")</f>
        <v>круг</v>
      </c>
      <c r="C890" s="7" t="str">
        <f ca="1">IFERROR(__xludf.DUMMYFUNCTION("""COMPUTED_VALUE"""),"38хм")</f>
        <v>38хм</v>
      </c>
      <c r="D890" s="13">
        <f ca="1">IFERROR(__xludf.DUMMYFUNCTION("""COMPUTED_VALUE"""),180)</f>
        <v>180</v>
      </c>
      <c r="E890" s="13"/>
      <c r="F890" s="14" t="str">
        <f ca="1">IFERROR(__xludf.DUMMYFUNCTION("""COMPUTED_VALUE"""),"2ГП ")</f>
        <v xml:space="preserve">2ГП </v>
      </c>
      <c r="G890" s="15">
        <f ca="1">IFERROR(__xludf.DUMMYFUNCTION("""COMPUTED_VALUE"""),3.59099999999999)</f>
        <v>3.59099999999999</v>
      </c>
      <c r="H890" s="15"/>
      <c r="I890" s="16">
        <f ca="1">IFERROR(__xludf.DUMMYFUNCTION("""COMPUTED_VALUE"""),140000)</f>
        <v>140000</v>
      </c>
    </row>
    <row r="891" spans="2:9" x14ac:dyDescent="0.3">
      <c r="B891" s="12" t="str">
        <f ca="1">IFERROR(__xludf.DUMMYFUNCTION("""COMPUTED_VALUE"""),"круг")</f>
        <v>круг</v>
      </c>
      <c r="C891" s="7" t="str">
        <f ca="1">IFERROR(__xludf.DUMMYFUNCTION("""COMPUTED_VALUE"""),"38хм")</f>
        <v>38хм</v>
      </c>
      <c r="D891" s="13">
        <f ca="1">IFERROR(__xludf.DUMMYFUNCTION("""COMPUTED_VALUE"""),190)</f>
        <v>190</v>
      </c>
      <c r="E891" s="13"/>
      <c r="F891" s="14" t="str">
        <f ca="1">IFERROR(__xludf.DUMMYFUNCTION("""COMPUTED_VALUE"""),"3ГП")</f>
        <v>3ГП</v>
      </c>
      <c r="G891" s="15">
        <f ca="1">IFERROR(__xludf.DUMMYFUNCTION("""COMPUTED_VALUE"""),0.168)</f>
        <v>0.16800000000000001</v>
      </c>
      <c r="H891" s="15"/>
      <c r="I891" s="16">
        <f ca="1">IFERROR(__xludf.DUMMYFUNCTION("""COMPUTED_VALUE"""),140000)</f>
        <v>140000</v>
      </c>
    </row>
    <row r="892" spans="2:9" x14ac:dyDescent="0.3">
      <c r="B892" s="12" t="str">
        <f ca="1">IFERROR(__xludf.DUMMYFUNCTION("""COMPUTED_VALUE"""),"круг")</f>
        <v>круг</v>
      </c>
      <c r="C892" s="7" t="str">
        <f ca="1">IFERROR(__xludf.DUMMYFUNCTION("""COMPUTED_VALUE"""),"38хм")</f>
        <v>38хм</v>
      </c>
      <c r="D892" s="13">
        <f ca="1">IFERROR(__xludf.DUMMYFUNCTION("""COMPUTED_VALUE"""),190)</f>
        <v>190</v>
      </c>
      <c r="E892" s="13"/>
      <c r="F892" s="14" t="str">
        <f ca="1">IFERROR(__xludf.DUMMYFUNCTION("""COMPUTED_VALUE"""),"2ГП , В1, ")</f>
        <v xml:space="preserve">2ГП , В1, </v>
      </c>
      <c r="G892" s="15">
        <f ca="1">IFERROR(__xludf.DUMMYFUNCTION("""COMPUTED_VALUE"""),3.55)</f>
        <v>3.55</v>
      </c>
      <c r="H892" s="15"/>
      <c r="I892" s="16">
        <f ca="1">IFERROR(__xludf.DUMMYFUNCTION("""COMPUTED_VALUE"""),160000)</f>
        <v>160000</v>
      </c>
    </row>
    <row r="893" spans="2:9" x14ac:dyDescent="0.3">
      <c r="B893" s="12" t="str">
        <f ca="1">IFERROR(__xludf.DUMMYFUNCTION("""COMPUTED_VALUE"""),"круг")</f>
        <v>круг</v>
      </c>
      <c r="C893" s="7" t="str">
        <f ca="1">IFERROR(__xludf.DUMMYFUNCTION("""COMPUTED_VALUE"""),"38хм")</f>
        <v>38хм</v>
      </c>
      <c r="D893" s="13">
        <f ca="1">IFERROR(__xludf.DUMMYFUNCTION("""COMPUTED_VALUE"""),190)</f>
        <v>190</v>
      </c>
      <c r="E893" s="13"/>
      <c r="F893" s="14" t="str">
        <f ca="1">IFERROR(__xludf.DUMMYFUNCTION("""COMPUTED_VALUE"""),"ГОСТ4543/2590, 2ГП")</f>
        <v>ГОСТ4543/2590, 2ГП</v>
      </c>
      <c r="G893" s="15">
        <f ca="1">IFERROR(__xludf.DUMMYFUNCTION("""COMPUTED_VALUE"""),4.72)</f>
        <v>4.72</v>
      </c>
      <c r="H893" s="15"/>
      <c r="I893" s="16">
        <f ca="1">IFERROR(__xludf.DUMMYFUNCTION("""COMPUTED_VALUE"""),160000)</f>
        <v>160000</v>
      </c>
    </row>
    <row r="894" spans="2:9" x14ac:dyDescent="0.3">
      <c r="B894" s="12" t="str">
        <f ca="1">IFERROR(__xludf.DUMMYFUNCTION("""COMPUTED_VALUE"""),"круг")</f>
        <v>круг</v>
      </c>
      <c r="C894" s="7" t="str">
        <f ca="1">IFERROR(__xludf.DUMMYFUNCTION("""COMPUTED_VALUE"""),"38хм")</f>
        <v>38хм</v>
      </c>
      <c r="D894" s="13">
        <f ca="1">IFERROR(__xludf.DUMMYFUNCTION("""COMPUTED_VALUE"""),190)</f>
        <v>190</v>
      </c>
      <c r="E894" s="13"/>
      <c r="F894" s="14" t="str">
        <f ca="1">IFERROR(__xludf.DUMMYFUNCTION("""COMPUTED_VALUE"""),"ГОСТ4543/2590, 2ГП")</f>
        <v>ГОСТ4543/2590, 2ГП</v>
      </c>
      <c r="G894" s="15">
        <f ca="1">IFERROR(__xludf.DUMMYFUNCTION("""COMPUTED_VALUE"""),4.72)</f>
        <v>4.72</v>
      </c>
      <c r="H894" s="15"/>
      <c r="I894" s="16">
        <f ca="1">IFERROR(__xludf.DUMMYFUNCTION("""COMPUTED_VALUE"""),160000)</f>
        <v>160000</v>
      </c>
    </row>
    <row r="895" spans="2:9" x14ac:dyDescent="0.3">
      <c r="B895" s="12" t="str">
        <f ca="1">IFERROR(__xludf.DUMMYFUNCTION("""COMPUTED_VALUE"""),"круг")</f>
        <v>круг</v>
      </c>
      <c r="C895" s="7" t="str">
        <f ca="1">IFERROR(__xludf.DUMMYFUNCTION("""COMPUTED_VALUE"""),"38хм")</f>
        <v>38хм</v>
      </c>
      <c r="D895" s="13">
        <f ca="1">IFERROR(__xludf.DUMMYFUNCTION("""COMPUTED_VALUE"""),190)</f>
        <v>190</v>
      </c>
      <c r="E895" s="13"/>
      <c r="F895" s="14" t="str">
        <f ca="1">IFERROR(__xludf.DUMMYFUNCTION("""COMPUTED_VALUE"""),"2ГП , В1, ")</f>
        <v xml:space="preserve">2ГП , В1, </v>
      </c>
      <c r="G895" s="15">
        <f ca="1">IFERROR(__xludf.DUMMYFUNCTION("""COMPUTED_VALUE"""),5)</f>
        <v>5</v>
      </c>
      <c r="H895" s="15"/>
      <c r="I895" s="16">
        <f ca="1">IFERROR(__xludf.DUMMYFUNCTION("""COMPUTED_VALUE"""),150000)</f>
        <v>150000</v>
      </c>
    </row>
    <row r="896" spans="2:9" x14ac:dyDescent="0.3">
      <c r="B896" s="12" t="str">
        <f ca="1">IFERROR(__xludf.DUMMYFUNCTION("""COMPUTED_VALUE"""),"круг")</f>
        <v>круг</v>
      </c>
      <c r="C896" s="7" t="str">
        <f ca="1">IFERROR(__xludf.DUMMYFUNCTION("""COMPUTED_VALUE"""),"38хм")</f>
        <v>38хм</v>
      </c>
      <c r="D896" s="13">
        <f ca="1">IFERROR(__xludf.DUMMYFUNCTION("""COMPUTED_VALUE"""),200)</f>
        <v>200</v>
      </c>
      <c r="E896" s="13"/>
      <c r="F896" s="14" t="str">
        <f ca="1">IFERROR(__xludf.DUMMYFUNCTION("""COMPUTED_VALUE"""),"2ГП ")</f>
        <v xml:space="preserve">2ГП </v>
      </c>
      <c r="G896" s="15">
        <f ca="1">IFERROR(__xludf.DUMMYFUNCTION("""COMPUTED_VALUE"""),0.254)</f>
        <v>0.254</v>
      </c>
      <c r="H896" s="15"/>
      <c r="I896" s="16">
        <f ca="1">IFERROR(__xludf.DUMMYFUNCTION("""COMPUTED_VALUE"""),130000)</f>
        <v>130000</v>
      </c>
    </row>
    <row r="897" spans="2:9" x14ac:dyDescent="0.3">
      <c r="B897" s="12" t="str">
        <f ca="1">IFERROR(__xludf.DUMMYFUNCTION("""COMPUTED_VALUE"""),"круг")</f>
        <v>круг</v>
      </c>
      <c r="C897" s="7" t="str">
        <f ca="1">IFERROR(__xludf.DUMMYFUNCTION("""COMPUTED_VALUE"""),"38хм")</f>
        <v>38хм</v>
      </c>
      <c r="D897" s="13">
        <f ca="1">IFERROR(__xludf.DUMMYFUNCTION("""COMPUTED_VALUE"""),200)</f>
        <v>200</v>
      </c>
      <c r="E897" s="13"/>
      <c r="F897" s="14" t="str">
        <f ca="1">IFERROR(__xludf.DUMMYFUNCTION("""COMPUTED_VALUE"""),"ГОСТ4543/2590")</f>
        <v>ГОСТ4543/2590</v>
      </c>
      <c r="G897" s="15">
        <f ca="1">IFERROR(__xludf.DUMMYFUNCTION("""COMPUTED_VALUE"""),4.4)</f>
        <v>4.4000000000000004</v>
      </c>
      <c r="H897" s="15"/>
      <c r="I897" s="16">
        <f ca="1">IFERROR(__xludf.DUMMYFUNCTION("""COMPUTED_VALUE"""),150000)</f>
        <v>150000</v>
      </c>
    </row>
    <row r="898" spans="2:9" x14ac:dyDescent="0.3">
      <c r="B898" s="12" t="str">
        <f ca="1">IFERROR(__xludf.DUMMYFUNCTION("""COMPUTED_VALUE"""),"круг")</f>
        <v>круг</v>
      </c>
      <c r="C898" s="7" t="str">
        <f ca="1">IFERROR(__xludf.DUMMYFUNCTION("""COMPUTED_VALUE"""),"38хм")</f>
        <v>38хм</v>
      </c>
      <c r="D898" s="13">
        <f ca="1">IFERROR(__xludf.DUMMYFUNCTION("""COMPUTED_VALUE"""),210)</f>
        <v>210</v>
      </c>
      <c r="E898" s="13"/>
      <c r="F898" s="14" t="str">
        <f ca="1">IFERROR(__xludf.DUMMYFUNCTION("""COMPUTED_VALUE"""),"3 гп, контроль НМВ")</f>
        <v>3 гп, контроль НМВ</v>
      </c>
      <c r="G898" s="15">
        <f ca="1">IFERROR(__xludf.DUMMYFUNCTION("""COMPUTED_VALUE"""),0.0450000000000008)</f>
        <v>4.5000000000000803E-2</v>
      </c>
      <c r="H898" s="15"/>
      <c r="I898" s="16">
        <f ca="1">IFERROR(__xludf.DUMMYFUNCTION("""COMPUTED_VALUE"""),170000)</f>
        <v>170000</v>
      </c>
    </row>
    <row r="899" spans="2:9" x14ac:dyDescent="0.3">
      <c r="B899" s="12" t="str">
        <f ca="1">IFERROR(__xludf.DUMMYFUNCTION("""COMPUTED_VALUE"""),"круг")</f>
        <v>круг</v>
      </c>
      <c r="C899" s="7" t="str">
        <f ca="1">IFERROR(__xludf.DUMMYFUNCTION("""COMPUTED_VALUE"""),"38хм")</f>
        <v>38хм</v>
      </c>
      <c r="D899" s="13">
        <f ca="1">IFERROR(__xludf.DUMMYFUNCTION("""COMPUTED_VALUE"""),210)</f>
        <v>210</v>
      </c>
      <c r="E899" s="13"/>
      <c r="F899" s="14" t="str">
        <f ca="1">IFERROR(__xludf.DUMMYFUNCTION("""COMPUTED_VALUE"""),"3ГП . В1, од 4000-5500")</f>
        <v>3ГП . В1, од 4000-5500</v>
      </c>
      <c r="G899" s="15">
        <f ca="1">IFERROR(__xludf.DUMMYFUNCTION("""COMPUTED_VALUE"""),0.139)</f>
        <v>0.13900000000000001</v>
      </c>
      <c r="H899" s="15"/>
      <c r="I899" s="16">
        <f ca="1">IFERROR(__xludf.DUMMYFUNCTION("""COMPUTED_VALUE"""),150000)</f>
        <v>150000</v>
      </c>
    </row>
    <row r="900" spans="2:9" x14ac:dyDescent="0.3">
      <c r="B900" s="12" t="str">
        <f ca="1">IFERROR(__xludf.DUMMYFUNCTION("""COMPUTED_VALUE"""),"круг")</f>
        <v>круг</v>
      </c>
      <c r="C900" s="7" t="str">
        <f ca="1">IFERROR(__xludf.DUMMYFUNCTION("""COMPUTED_VALUE"""),"38хм")</f>
        <v>38хм</v>
      </c>
      <c r="D900" s="13">
        <f ca="1">IFERROR(__xludf.DUMMYFUNCTION("""COMPUTED_VALUE"""),210)</f>
        <v>210</v>
      </c>
      <c r="E900" s="13"/>
      <c r="F900" s="14" t="str">
        <f ca="1">IFERROR(__xludf.DUMMYFUNCTION("""COMPUTED_VALUE"""),"ГОСТ4543/2590 2ГП")</f>
        <v>ГОСТ4543/2590 2ГП</v>
      </c>
      <c r="G900" s="15">
        <f ca="1">IFERROR(__xludf.DUMMYFUNCTION("""COMPUTED_VALUE"""),5)</f>
        <v>5</v>
      </c>
      <c r="H900" s="15"/>
      <c r="I900" s="16">
        <f ca="1">IFERROR(__xludf.DUMMYFUNCTION("""COMPUTED_VALUE"""),150000)</f>
        <v>150000</v>
      </c>
    </row>
    <row r="901" spans="2:9" x14ac:dyDescent="0.3">
      <c r="B901" s="12" t="str">
        <f ca="1">IFERROR(__xludf.DUMMYFUNCTION("""COMPUTED_VALUE"""),"круг")</f>
        <v>круг</v>
      </c>
      <c r="C901" s="7" t="str">
        <f ca="1">IFERROR(__xludf.DUMMYFUNCTION("""COMPUTED_VALUE"""),"38хм")</f>
        <v>38хм</v>
      </c>
      <c r="D901" s="13">
        <f ca="1">IFERROR(__xludf.DUMMYFUNCTION("""COMPUTED_VALUE"""),220)</f>
        <v>220</v>
      </c>
      <c r="E901" s="13"/>
      <c r="F901" s="14" t="str">
        <f ca="1">IFERROR(__xludf.DUMMYFUNCTION("""COMPUTED_VALUE"""),"3 гп, контроль НМВ")</f>
        <v>3 гп, контроль НМВ</v>
      </c>
      <c r="G901" s="15">
        <f ca="1">IFERROR(__xludf.DUMMYFUNCTION("""COMPUTED_VALUE"""),0.174999999999999)</f>
        <v>0.17499999999999899</v>
      </c>
      <c r="H901" s="15"/>
      <c r="I901" s="16">
        <f ca="1">IFERROR(__xludf.DUMMYFUNCTION("""COMPUTED_VALUE"""),170000)</f>
        <v>170000</v>
      </c>
    </row>
    <row r="902" spans="2:9" x14ac:dyDescent="0.3">
      <c r="B902" s="12" t="str">
        <f ca="1">IFERROR(__xludf.DUMMYFUNCTION("""COMPUTED_VALUE"""),"круг")</f>
        <v>круг</v>
      </c>
      <c r="C902" s="7" t="str">
        <f ca="1">IFERROR(__xludf.DUMMYFUNCTION("""COMPUTED_VALUE"""),"38хм")</f>
        <v>38хм</v>
      </c>
      <c r="D902" s="13">
        <f ca="1">IFERROR(__xludf.DUMMYFUNCTION("""COMPUTED_VALUE"""),220)</f>
        <v>220</v>
      </c>
      <c r="E902" s="13"/>
      <c r="F902" s="14" t="str">
        <f ca="1">IFERROR(__xludf.DUMMYFUNCTION("""COMPUTED_VALUE"""),"ГОСТ4543/2590 2ГП")</f>
        <v>ГОСТ4543/2590 2ГП</v>
      </c>
      <c r="G902" s="15">
        <f ca="1">IFERROR(__xludf.DUMMYFUNCTION("""COMPUTED_VALUE"""),5)</f>
        <v>5</v>
      </c>
      <c r="H902" s="15"/>
      <c r="I902" s="16">
        <f ca="1">IFERROR(__xludf.DUMMYFUNCTION("""COMPUTED_VALUE"""),180000)</f>
        <v>180000</v>
      </c>
    </row>
    <row r="903" spans="2:9" x14ac:dyDescent="0.3">
      <c r="B903" s="12" t="str">
        <f ca="1">IFERROR(__xludf.DUMMYFUNCTION("""COMPUTED_VALUE"""),"круг")</f>
        <v>круг</v>
      </c>
      <c r="C903" s="7" t="str">
        <f ca="1">IFERROR(__xludf.DUMMYFUNCTION("""COMPUTED_VALUE"""),"38хм")</f>
        <v>38хм</v>
      </c>
      <c r="D903" s="13">
        <f ca="1">IFERROR(__xludf.DUMMYFUNCTION("""COMPUTED_VALUE"""),230)</f>
        <v>230</v>
      </c>
      <c r="E903" s="13"/>
      <c r="F903" s="14" t="str">
        <f ca="1">IFERROR(__xludf.DUMMYFUNCTION("""COMPUTED_VALUE"""),"ГОСТ4543/2590 2ГП")</f>
        <v>ГОСТ4543/2590 2ГП</v>
      </c>
      <c r="G903" s="15">
        <f ca="1">IFERROR(__xludf.DUMMYFUNCTION("""COMPUTED_VALUE"""),5)</f>
        <v>5</v>
      </c>
      <c r="H903" s="15"/>
      <c r="I903" s="16">
        <f ca="1">IFERROR(__xludf.DUMMYFUNCTION("""COMPUTED_VALUE"""),180000)</f>
        <v>180000</v>
      </c>
    </row>
    <row r="904" spans="2:9" x14ac:dyDescent="0.3">
      <c r="B904" s="12" t="str">
        <f ca="1">IFERROR(__xludf.DUMMYFUNCTION("""COMPUTED_VALUE"""),"круг")</f>
        <v>круг</v>
      </c>
      <c r="C904" s="7" t="str">
        <f ca="1">IFERROR(__xludf.DUMMYFUNCTION("""COMPUTED_VALUE"""),"38хм")</f>
        <v>38хм</v>
      </c>
      <c r="D904" s="13">
        <f ca="1">IFERROR(__xludf.DUMMYFUNCTION("""COMPUTED_VALUE"""),240)</f>
        <v>240</v>
      </c>
      <c r="E904" s="13"/>
      <c r="F904" s="14" t="str">
        <f ca="1">IFERROR(__xludf.DUMMYFUNCTION("""COMPUTED_VALUE"""),"2ГП ")</f>
        <v xml:space="preserve">2ГП </v>
      </c>
      <c r="G904" s="15">
        <f ca="1">IFERROR(__xludf.DUMMYFUNCTION("""COMPUTED_VALUE"""),0.0739999999999998)</f>
        <v>7.3999999999999802E-2</v>
      </c>
      <c r="H904" s="15"/>
      <c r="I904" s="16">
        <f ca="1">IFERROR(__xludf.DUMMYFUNCTION("""COMPUTED_VALUE"""),185000)</f>
        <v>185000</v>
      </c>
    </row>
    <row r="905" spans="2:9" x14ac:dyDescent="0.3">
      <c r="B905" s="12" t="str">
        <f ca="1">IFERROR(__xludf.DUMMYFUNCTION("""COMPUTED_VALUE"""),"круг")</f>
        <v>круг</v>
      </c>
      <c r="C905" s="7" t="str">
        <f ca="1">IFERROR(__xludf.DUMMYFUNCTION("""COMPUTED_VALUE"""),"38хм")</f>
        <v>38хм</v>
      </c>
      <c r="D905" s="13">
        <f ca="1">IFERROR(__xludf.DUMMYFUNCTION("""COMPUTED_VALUE"""),240)</f>
        <v>240</v>
      </c>
      <c r="E905" s="13"/>
      <c r="F905" s="14"/>
      <c r="G905" s="15">
        <f ca="1">IFERROR(__xludf.DUMMYFUNCTION("""COMPUTED_VALUE"""),2.7)</f>
        <v>2.7</v>
      </c>
      <c r="H905" s="15"/>
      <c r="I905" s="16">
        <f ca="1">IFERROR(__xludf.DUMMYFUNCTION("""COMPUTED_VALUE"""),185000)</f>
        <v>185000</v>
      </c>
    </row>
    <row r="906" spans="2:9" x14ac:dyDescent="0.3">
      <c r="B906" s="12" t="str">
        <f ca="1">IFERROR(__xludf.DUMMYFUNCTION("""COMPUTED_VALUE"""),"круг")</f>
        <v>круг</v>
      </c>
      <c r="C906" s="7" t="str">
        <f ca="1">IFERROR(__xludf.DUMMYFUNCTION("""COMPUTED_VALUE"""),"38хм")</f>
        <v>38хм</v>
      </c>
      <c r="D906" s="13">
        <f ca="1">IFERROR(__xludf.DUMMYFUNCTION("""COMPUTED_VALUE"""),240)</f>
        <v>240</v>
      </c>
      <c r="E906" s="13"/>
      <c r="F906" s="14"/>
      <c r="G906" s="15">
        <f ca="1">IFERROR(__xludf.DUMMYFUNCTION("""COMPUTED_VALUE"""),4.58)</f>
        <v>4.58</v>
      </c>
      <c r="H906" s="15"/>
      <c r="I906" s="16">
        <f ca="1">IFERROR(__xludf.DUMMYFUNCTION("""COMPUTED_VALUE"""),185000)</f>
        <v>185000</v>
      </c>
    </row>
    <row r="907" spans="2:9" x14ac:dyDescent="0.3">
      <c r="B907" s="12" t="str">
        <f ca="1">IFERROR(__xludf.DUMMYFUNCTION("""COMPUTED_VALUE"""),"круг")</f>
        <v>круг</v>
      </c>
      <c r="C907" s="7" t="str">
        <f ca="1">IFERROR(__xludf.DUMMYFUNCTION("""COMPUTED_VALUE"""),"38хм")</f>
        <v>38хм</v>
      </c>
      <c r="D907" s="13">
        <f ca="1">IFERROR(__xludf.DUMMYFUNCTION("""COMPUTED_VALUE"""),250)</f>
        <v>250</v>
      </c>
      <c r="E907" s="13"/>
      <c r="F907" s="14" t="str">
        <f ca="1">IFERROR(__xludf.DUMMYFUNCTION("""COMPUTED_VALUE"""),"2ГП ")</f>
        <v xml:space="preserve">2ГП </v>
      </c>
      <c r="G907" s="15">
        <f ca="1">IFERROR(__xludf.DUMMYFUNCTION("""COMPUTED_VALUE"""),0.831999999999999)</f>
        <v>0.83199999999999896</v>
      </c>
      <c r="H907" s="15"/>
      <c r="I907" s="16">
        <f ca="1">IFERROR(__xludf.DUMMYFUNCTION("""COMPUTED_VALUE"""),185000)</f>
        <v>185000</v>
      </c>
    </row>
    <row r="908" spans="2:9" x14ac:dyDescent="0.3">
      <c r="B908" s="12" t="str">
        <f ca="1">IFERROR(__xludf.DUMMYFUNCTION("""COMPUTED_VALUE"""),"круг")</f>
        <v>круг</v>
      </c>
      <c r="C908" s="7" t="str">
        <f ca="1">IFERROR(__xludf.DUMMYFUNCTION("""COMPUTED_VALUE"""),"38хм")</f>
        <v>38хм</v>
      </c>
      <c r="D908" s="13">
        <f ca="1">IFERROR(__xludf.DUMMYFUNCTION("""COMPUTED_VALUE"""),250)</f>
        <v>250</v>
      </c>
      <c r="E908" s="13"/>
      <c r="F908" s="14" t="str">
        <f ca="1">IFERROR(__xludf.DUMMYFUNCTION("""COMPUTED_VALUE"""),"ГОСТ4543/2590")</f>
        <v>ГОСТ4543/2590</v>
      </c>
      <c r="G908" s="15">
        <f ca="1">IFERROR(__xludf.DUMMYFUNCTION("""COMPUTED_VALUE"""),4.2)</f>
        <v>4.2</v>
      </c>
      <c r="H908" s="15"/>
      <c r="I908" s="16">
        <f ca="1">IFERROR(__xludf.DUMMYFUNCTION("""COMPUTED_VALUE"""),185000)</f>
        <v>185000</v>
      </c>
    </row>
    <row r="909" spans="2:9" x14ac:dyDescent="0.3">
      <c r="B909" s="12" t="str">
        <f ca="1">IFERROR(__xludf.DUMMYFUNCTION("""COMPUTED_VALUE"""),"круг")</f>
        <v>круг</v>
      </c>
      <c r="C909" s="7" t="str">
        <f ca="1">IFERROR(__xludf.DUMMYFUNCTION("""COMPUTED_VALUE"""),"38хм")</f>
        <v>38хм</v>
      </c>
      <c r="D909" s="13">
        <f ca="1">IFERROR(__xludf.DUMMYFUNCTION("""COMPUTED_VALUE"""),260)</f>
        <v>260</v>
      </c>
      <c r="E909" s="13"/>
      <c r="F909" s="14" t="str">
        <f ca="1">IFERROR(__xludf.DUMMYFUNCTION("""COMPUTED_VALUE"""),"ГОСТ4543/2590 2ГП")</f>
        <v>ГОСТ4543/2590 2ГП</v>
      </c>
      <c r="G909" s="15">
        <f ca="1">IFERROR(__xludf.DUMMYFUNCTION("""COMPUTED_VALUE"""),5)</f>
        <v>5</v>
      </c>
      <c r="H909" s="15"/>
      <c r="I909" s="16">
        <f ca="1">IFERROR(__xludf.DUMMYFUNCTION("""COMPUTED_VALUE"""),180000)</f>
        <v>180000</v>
      </c>
    </row>
    <row r="910" spans="2:9" x14ac:dyDescent="0.3">
      <c r="B910" s="12" t="str">
        <f ca="1">IFERROR(__xludf.DUMMYFUNCTION("""COMPUTED_VALUE"""),"круг")</f>
        <v>круг</v>
      </c>
      <c r="C910" s="7" t="str">
        <f ca="1">IFERROR(__xludf.DUMMYFUNCTION("""COMPUTED_VALUE"""),"38хм")</f>
        <v>38хм</v>
      </c>
      <c r="D910" s="13">
        <f ca="1">IFERROR(__xludf.DUMMYFUNCTION("""COMPUTED_VALUE"""),270)</f>
        <v>270</v>
      </c>
      <c r="E910" s="13"/>
      <c r="F910" s="14" t="str">
        <f ca="1">IFERROR(__xludf.DUMMYFUNCTION("""COMPUTED_VALUE"""),"3 гп, контроль НМВ")</f>
        <v>3 гп, контроль НМВ</v>
      </c>
      <c r="G910" s="15">
        <f ca="1">IFERROR(__xludf.DUMMYFUNCTION("""COMPUTED_VALUE"""),0.054)</f>
        <v>5.3999999999999999E-2</v>
      </c>
      <c r="H910" s="15"/>
      <c r="I910" s="16">
        <f ca="1">IFERROR(__xludf.DUMMYFUNCTION("""COMPUTED_VALUE"""),195000)</f>
        <v>195000</v>
      </c>
    </row>
    <row r="911" spans="2:9" x14ac:dyDescent="0.3">
      <c r="B911" s="12" t="str">
        <f ca="1">IFERROR(__xludf.DUMMYFUNCTION("""COMPUTED_VALUE"""),"круг")</f>
        <v>круг</v>
      </c>
      <c r="C911" s="7" t="str">
        <f ca="1">IFERROR(__xludf.DUMMYFUNCTION("""COMPUTED_VALUE"""),"38хм")</f>
        <v>38хм</v>
      </c>
      <c r="D911" s="13">
        <f ca="1">IFERROR(__xludf.DUMMYFUNCTION("""COMPUTED_VALUE"""),270)</f>
        <v>270</v>
      </c>
      <c r="E911" s="13"/>
      <c r="F911" s="14" t="str">
        <f ca="1">IFERROR(__xludf.DUMMYFUNCTION("""COMPUTED_VALUE"""),"3ГП, ТУ 14-1-2118, отжиг 4000-5500")</f>
        <v>3ГП, ТУ 14-1-2118, отжиг 4000-5500</v>
      </c>
      <c r="G911" s="15">
        <f ca="1">IFERROR(__xludf.DUMMYFUNCTION("""COMPUTED_VALUE"""),5.135)</f>
        <v>5.1349999999999998</v>
      </c>
      <c r="H911" s="15"/>
      <c r="I911" s="16">
        <f ca="1">IFERROR(__xludf.DUMMYFUNCTION("""COMPUTED_VALUE"""),180000)</f>
        <v>180000</v>
      </c>
    </row>
    <row r="912" spans="2:9" x14ac:dyDescent="0.3">
      <c r="B912" s="12" t="str">
        <f ca="1">IFERROR(__xludf.DUMMYFUNCTION("""COMPUTED_VALUE"""),"круг")</f>
        <v>круг</v>
      </c>
      <c r="C912" s="7" t="str">
        <f ca="1">IFERROR(__xludf.DUMMYFUNCTION("""COMPUTED_VALUE"""),"38хм")</f>
        <v>38хм</v>
      </c>
      <c r="D912" s="13">
        <f ca="1">IFERROR(__xludf.DUMMYFUNCTION("""COMPUTED_VALUE"""),280)</f>
        <v>280</v>
      </c>
      <c r="E912" s="13"/>
      <c r="F912" s="14"/>
      <c r="G912" s="15">
        <f ca="1">IFERROR(__xludf.DUMMYFUNCTION("""COMPUTED_VALUE"""),0.164)</f>
        <v>0.16400000000000001</v>
      </c>
      <c r="H912" s="15"/>
      <c r="I912" s="16">
        <f ca="1">IFERROR(__xludf.DUMMYFUNCTION("""COMPUTED_VALUE"""),195000)</f>
        <v>195000</v>
      </c>
    </row>
    <row r="913" spans="2:9" x14ac:dyDescent="0.3">
      <c r="B913" s="12" t="str">
        <f ca="1">IFERROR(__xludf.DUMMYFUNCTION("""COMPUTED_VALUE"""),"круг")</f>
        <v>круг</v>
      </c>
      <c r="C913" s="7" t="str">
        <f ca="1">IFERROR(__xludf.DUMMYFUNCTION("""COMPUTED_VALUE"""),"38хм")</f>
        <v>38хм</v>
      </c>
      <c r="D913" s="13">
        <f ca="1">IFERROR(__xludf.DUMMYFUNCTION("""COMPUTED_VALUE"""),280)</f>
        <v>280</v>
      </c>
      <c r="E913" s="13"/>
      <c r="F913" s="14" t="str">
        <f ca="1">IFERROR(__xludf.DUMMYFUNCTION("""COMPUTED_VALUE"""),"ГОСТ4543/2590, 2ГП")</f>
        <v>ГОСТ4543/2590, 2ГП</v>
      </c>
      <c r="G913" s="15">
        <f ca="1">IFERROR(__xludf.DUMMYFUNCTION("""COMPUTED_VALUE"""),2.16)</f>
        <v>2.16</v>
      </c>
      <c r="H913" s="15"/>
      <c r="I913" s="16">
        <f ca="1">IFERROR(__xludf.DUMMYFUNCTION("""COMPUTED_VALUE"""),180000)</f>
        <v>180000</v>
      </c>
    </row>
    <row r="914" spans="2:9" x14ac:dyDescent="0.3">
      <c r="B914" s="12" t="str">
        <f ca="1">IFERROR(__xludf.DUMMYFUNCTION("""COMPUTED_VALUE"""),"круг")</f>
        <v>круг</v>
      </c>
      <c r="C914" s="7" t="str">
        <f ca="1">IFERROR(__xludf.DUMMYFUNCTION("""COMPUTED_VALUE"""),"38хм")</f>
        <v>38хм</v>
      </c>
      <c r="D914" s="13">
        <f ca="1">IFERROR(__xludf.DUMMYFUNCTION("""COMPUTED_VALUE"""),280)</f>
        <v>280</v>
      </c>
      <c r="E914" s="13"/>
      <c r="F914" s="14" t="str">
        <f ca="1">IFERROR(__xludf.DUMMYFUNCTION("""COMPUTED_VALUE"""),"ГОСТ4543/2590 2ГП")</f>
        <v>ГОСТ4543/2590 2ГП</v>
      </c>
      <c r="G914" s="15">
        <f ca="1">IFERROR(__xludf.DUMMYFUNCTION("""COMPUTED_VALUE"""),5)</f>
        <v>5</v>
      </c>
      <c r="H914" s="15"/>
      <c r="I914" s="16">
        <f ca="1">IFERROR(__xludf.DUMMYFUNCTION("""COMPUTED_VALUE"""),180000)</f>
        <v>180000</v>
      </c>
    </row>
    <row r="915" spans="2:9" x14ac:dyDescent="0.3">
      <c r="B915" s="12" t="str">
        <f ca="1">IFERROR(__xludf.DUMMYFUNCTION("""COMPUTED_VALUE"""),"круг")</f>
        <v>круг</v>
      </c>
      <c r="C915" s="7" t="str">
        <f ca="1">IFERROR(__xludf.DUMMYFUNCTION("""COMPUTED_VALUE"""),"38хм")</f>
        <v>38хм</v>
      </c>
      <c r="D915" s="13">
        <f ca="1">IFERROR(__xludf.DUMMYFUNCTION("""COMPUTED_VALUE"""),300)</f>
        <v>300</v>
      </c>
      <c r="E915" s="13"/>
      <c r="F915" s="14" t="str">
        <f ca="1">IFERROR(__xludf.DUMMYFUNCTION("""COMPUTED_VALUE"""),"3 гп")</f>
        <v>3 гп</v>
      </c>
      <c r="G915" s="15">
        <f ca="1">IFERROR(__xludf.DUMMYFUNCTION("""COMPUTED_VALUE"""),0.104)</f>
        <v>0.104</v>
      </c>
      <c r="H915" s="15"/>
      <c r="I915" s="16">
        <f ca="1">IFERROR(__xludf.DUMMYFUNCTION("""COMPUTED_VALUE"""),220000)</f>
        <v>220000</v>
      </c>
    </row>
    <row r="916" spans="2:9" x14ac:dyDescent="0.3">
      <c r="B916" s="12" t="str">
        <f ca="1">IFERROR(__xludf.DUMMYFUNCTION("""COMPUTED_VALUE"""),"круг")</f>
        <v>круг</v>
      </c>
      <c r="C916" s="7" t="str">
        <f ca="1">IFERROR(__xludf.DUMMYFUNCTION("""COMPUTED_VALUE"""),"38хм")</f>
        <v>38хм</v>
      </c>
      <c r="D916" s="13">
        <f ca="1">IFERROR(__xludf.DUMMYFUNCTION("""COMPUTED_VALUE"""),300)</f>
        <v>300</v>
      </c>
      <c r="E916" s="13"/>
      <c r="F916" s="14" t="str">
        <f ca="1">IFERROR(__xludf.DUMMYFUNCTION("""COMPUTED_VALUE"""),"3ГП, ТУ 14-1-2118, отжиг 4000-5500")</f>
        <v>3ГП, ТУ 14-1-2118, отжиг 4000-5500</v>
      </c>
      <c r="G916" s="15">
        <f ca="1">IFERROR(__xludf.DUMMYFUNCTION("""COMPUTED_VALUE"""),0.628)</f>
        <v>0.628</v>
      </c>
      <c r="H916" s="15"/>
      <c r="I916" s="16">
        <f ca="1">IFERROR(__xludf.DUMMYFUNCTION("""COMPUTED_VALUE"""),195000)</f>
        <v>195000</v>
      </c>
    </row>
    <row r="917" spans="2:9" x14ac:dyDescent="0.3">
      <c r="B917" s="12" t="str">
        <f ca="1">IFERROR(__xludf.DUMMYFUNCTION("""COMPUTED_VALUE"""),"круг")</f>
        <v>круг</v>
      </c>
      <c r="C917" s="7" t="str">
        <f ca="1">IFERROR(__xludf.DUMMYFUNCTION("""COMPUTED_VALUE"""),"38хм")</f>
        <v>38хм</v>
      </c>
      <c r="D917" s="13">
        <f ca="1">IFERROR(__xludf.DUMMYFUNCTION("""COMPUTED_VALUE"""),320)</f>
        <v>320</v>
      </c>
      <c r="E917" s="13"/>
      <c r="F917" s="14" t="str">
        <f ca="1">IFERROR(__xludf.DUMMYFUNCTION("""COMPUTED_VALUE"""),"3 гп")</f>
        <v>3 гп</v>
      </c>
      <c r="G917" s="15">
        <f ca="1">IFERROR(__xludf.DUMMYFUNCTION("""COMPUTED_VALUE"""),0.402)</f>
        <v>0.40200000000000002</v>
      </c>
      <c r="H917" s="15"/>
      <c r="I917" s="16">
        <f ca="1">IFERROR(__xludf.DUMMYFUNCTION("""COMPUTED_VALUE"""),220000)</f>
        <v>220000</v>
      </c>
    </row>
    <row r="918" spans="2:9" x14ac:dyDescent="0.3">
      <c r="B918" s="12" t="str">
        <f ca="1">IFERROR(__xludf.DUMMYFUNCTION("""COMPUTED_VALUE"""),"круг")</f>
        <v>круг</v>
      </c>
      <c r="C918" s="7" t="str">
        <f ca="1">IFERROR(__xludf.DUMMYFUNCTION("""COMPUTED_VALUE"""),"38хм")</f>
        <v>38хм</v>
      </c>
      <c r="D918" s="13">
        <f ca="1">IFERROR(__xludf.DUMMYFUNCTION("""COMPUTED_VALUE"""),320)</f>
        <v>320</v>
      </c>
      <c r="E918" s="13"/>
      <c r="F918" s="14" t="str">
        <f ca="1">IFERROR(__xludf.DUMMYFUNCTION("""COMPUTED_VALUE"""),"3ГП, ТУ 14-1-2118, отжиг 4000-5500")</f>
        <v>3ГП, ТУ 14-1-2118, отжиг 4000-5500</v>
      </c>
      <c r="G918" s="15">
        <f ca="1">IFERROR(__xludf.DUMMYFUNCTION("""COMPUTED_VALUE"""),2.746)</f>
        <v>2.746</v>
      </c>
      <c r="H918" s="15"/>
      <c r="I918" s="16">
        <f ca="1">IFERROR(__xludf.DUMMYFUNCTION("""COMPUTED_VALUE"""),220000)</f>
        <v>220000</v>
      </c>
    </row>
    <row r="919" spans="2:9" x14ac:dyDescent="0.3">
      <c r="B919" s="12" t="str">
        <f ca="1">IFERROR(__xludf.DUMMYFUNCTION("""COMPUTED_VALUE"""),"круг")</f>
        <v>круг</v>
      </c>
      <c r="C919" s="7" t="str">
        <f ca="1">IFERROR(__xludf.DUMMYFUNCTION("""COMPUTED_VALUE"""),"38хм")</f>
        <v>38хм</v>
      </c>
      <c r="D919" s="13">
        <f ca="1">IFERROR(__xludf.DUMMYFUNCTION("""COMPUTED_VALUE"""),350)</f>
        <v>350</v>
      </c>
      <c r="E919" s="13"/>
      <c r="F919" s="14" t="str">
        <f ca="1">IFERROR(__xludf.DUMMYFUNCTION("""COMPUTED_VALUE"""),"3 гп")</f>
        <v>3 гп</v>
      </c>
      <c r="G919" s="15">
        <f ca="1">IFERROR(__xludf.DUMMYFUNCTION("""COMPUTED_VALUE"""),3.024)</f>
        <v>3.024</v>
      </c>
      <c r="H919" s="15"/>
      <c r="I919" s="16">
        <f ca="1">IFERROR(__xludf.DUMMYFUNCTION("""COMPUTED_VALUE"""),220000)</f>
        <v>220000</v>
      </c>
    </row>
    <row r="920" spans="2:9" x14ac:dyDescent="0.3">
      <c r="B920" s="12" t="str">
        <f ca="1">IFERROR(__xludf.DUMMYFUNCTION("""COMPUTED_VALUE"""),"круг")</f>
        <v>круг</v>
      </c>
      <c r="C920" s="7" t="str">
        <f ca="1">IFERROR(__xludf.DUMMYFUNCTION("""COMPUTED_VALUE"""),"38хм (ков)")</f>
        <v>38хм (ков)</v>
      </c>
      <c r="D920" s="13">
        <f ca="1">IFERROR(__xludf.DUMMYFUNCTION("""COMPUTED_VALUE"""),360)</f>
        <v>360</v>
      </c>
      <c r="E920" s="13"/>
      <c r="F920" s="14" t="str">
        <f ca="1">IFERROR(__xludf.DUMMYFUNCTION("""COMPUTED_VALUE""")," УЗК, НМВ")</f>
        <v xml:space="preserve"> УЗК, НМВ</v>
      </c>
      <c r="G920" s="15">
        <f ca="1">IFERROR(__xludf.DUMMYFUNCTION("""COMPUTED_VALUE"""),2.64)</f>
        <v>2.64</v>
      </c>
      <c r="H920" s="15"/>
      <c r="I920" s="16">
        <f ca="1">IFERROR(__xludf.DUMMYFUNCTION("""COMPUTED_VALUE"""),240000)</f>
        <v>240000</v>
      </c>
    </row>
    <row r="921" spans="2:9" x14ac:dyDescent="0.3">
      <c r="B921" s="12" t="str">
        <f ca="1">IFERROR(__xludf.DUMMYFUNCTION("""COMPUTED_VALUE"""),"круг")</f>
        <v>круг</v>
      </c>
      <c r="C921" s="7" t="str">
        <f ca="1">IFERROR(__xludf.DUMMYFUNCTION("""COMPUTED_VALUE"""),"38хм (ков)")</f>
        <v>38хм (ков)</v>
      </c>
      <c r="D921" s="13">
        <f ca="1">IFERROR(__xludf.DUMMYFUNCTION("""COMPUTED_VALUE"""),450)</f>
        <v>450</v>
      </c>
      <c r="E921" s="13"/>
      <c r="F921" s="14"/>
      <c r="G921" s="15">
        <f ca="1">IFERROR(__xludf.DUMMYFUNCTION("""COMPUTED_VALUE"""),5.69)</f>
        <v>5.69</v>
      </c>
      <c r="H921" s="15"/>
      <c r="I921" s="16">
        <f ca="1">IFERROR(__xludf.DUMMYFUNCTION("""COMPUTED_VALUE"""),240000)</f>
        <v>240000</v>
      </c>
    </row>
    <row r="922" spans="2:9" x14ac:dyDescent="0.3">
      <c r="B922" s="12" t="str">
        <f ca="1">IFERROR(__xludf.DUMMYFUNCTION("""COMPUTED_VALUE"""),"круг")</f>
        <v>круг</v>
      </c>
      <c r="C922" s="7" t="str">
        <f ca="1">IFERROR(__xludf.DUMMYFUNCTION("""COMPUTED_VALUE"""),"38хм (ков)")</f>
        <v>38хм (ков)</v>
      </c>
      <c r="D922" s="13">
        <f ca="1">IFERROR(__xludf.DUMMYFUNCTION("""COMPUTED_VALUE"""),480)</f>
        <v>480</v>
      </c>
      <c r="E922" s="13"/>
      <c r="F922" s="14" t="str">
        <f ca="1">IFERROR(__xludf.DUMMYFUNCTION("""COMPUTED_VALUE""")," УЗК, НМВ")</f>
        <v xml:space="preserve"> УЗК, НМВ</v>
      </c>
      <c r="G922" s="15">
        <f ca="1">IFERROR(__xludf.DUMMYFUNCTION("""COMPUTED_VALUE"""),1.853)</f>
        <v>1.853</v>
      </c>
      <c r="H922" s="15"/>
      <c r="I922" s="16">
        <f ca="1">IFERROR(__xludf.DUMMYFUNCTION("""COMPUTED_VALUE"""),240000)</f>
        <v>240000</v>
      </c>
    </row>
    <row r="923" spans="2:9" x14ac:dyDescent="0.3">
      <c r="B923" s="12" t="str">
        <f ca="1">IFERROR(__xludf.DUMMYFUNCTION("""COMPUTED_VALUE"""),"круг")</f>
        <v>круг</v>
      </c>
      <c r="C923" s="7" t="str">
        <f ca="1">IFERROR(__xludf.DUMMYFUNCTION("""COMPUTED_VALUE"""),"38хм (ков)")</f>
        <v>38хм (ков)</v>
      </c>
      <c r="D923" s="13">
        <f ca="1">IFERROR(__xludf.DUMMYFUNCTION("""COMPUTED_VALUE"""),480)</f>
        <v>480</v>
      </c>
      <c r="E923" s="13"/>
      <c r="F923" s="14" t="str">
        <f ca="1">IFERROR(__xludf.DUMMYFUNCTION("""COMPUTED_VALUE""")," УЗК, НМВ")</f>
        <v xml:space="preserve"> УЗК, НМВ</v>
      </c>
      <c r="G923" s="15">
        <f ca="1">IFERROR(__xludf.DUMMYFUNCTION("""COMPUTED_VALUE"""),0.4)</f>
        <v>0.4</v>
      </c>
      <c r="H923" s="15"/>
      <c r="I923" s="16">
        <f ca="1">IFERROR(__xludf.DUMMYFUNCTION("""COMPUTED_VALUE"""),240000)</f>
        <v>240000</v>
      </c>
    </row>
    <row r="924" spans="2:9" x14ac:dyDescent="0.3">
      <c r="B924" s="12" t="str">
        <f ca="1">IFERROR(__xludf.DUMMYFUNCTION("""COMPUTED_VALUE"""),"круг")</f>
        <v>круг</v>
      </c>
      <c r="C924" s="7" t="str">
        <f ca="1">IFERROR(__xludf.DUMMYFUNCTION("""COMPUTED_VALUE"""),"38хм (ков)")</f>
        <v>38хм (ков)</v>
      </c>
      <c r="D924" s="13">
        <f ca="1">IFERROR(__xludf.DUMMYFUNCTION("""COMPUTED_VALUE"""),480)</f>
        <v>480</v>
      </c>
      <c r="E924" s="13"/>
      <c r="F924" s="14"/>
      <c r="G924" s="15">
        <f ca="1">IFERROR(__xludf.DUMMYFUNCTION("""COMPUTED_VALUE"""),5.46)</f>
        <v>5.46</v>
      </c>
      <c r="H924" s="15"/>
      <c r="I924" s="16">
        <f ca="1">IFERROR(__xludf.DUMMYFUNCTION("""COMPUTED_VALUE"""),240000)</f>
        <v>240000</v>
      </c>
    </row>
    <row r="925" spans="2:9" x14ac:dyDescent="0.3">
      <c r="B925" s="12" t="str">
        <f ca="1">IFERROR(__xludf.DUMMYFUNCTION("""COMPUTED_VALUE"""),"круг")</f>
        <v>круг</v>
      </c>
      <c r="C925" s="7" t="str">
        <f ca="1">IFERROR(__xludf.DUMMYFUNCTION("""COMPUTED_VALUE"""),"38хм (ков)")</f>
        <v>38хм (ков)</v>
      </c>
      <c r="D925" s="13">
        <f ca="1">IFERROR(__xludf.DUMMYFUNCTION("""COMPUTED_VALUE"""),500)</f>
        <v>500</v>
      </c>
      <c r="E925" s="13"/>
      <c r="F925" s="14" t="str">
        <f ca="1">IFERROR(__xludf.DUMMYFUNCTION("""COMPUTED_VALUE""")," УЗК, НМВ")</f>
        <v xml:space="preserve"> УЗК, НМВ</v>
      </c>
      <c r="G925" s="15">
        <f ca="1">IFERROR(__xludf.DUMMYFUNCTION("""COMPUTED_VALUE"""),1.55)</f>
        <v>1.55</v>
      </c>
      <c r="H925" s="15"/>
      <c r="I925" s="16">
        <f ca="1">IFERROR(__xludf.DUMMYFUNCTION("""COMPUTED_VALUE"""),240000)</f>
        <v>240000</v>
      </c>
    </row>
    <row r="926" spans="2:9" x14ac:dyDescent="0.3">
      <c r="B926" s="12" t="str">
        <f ca="1">IFERROR(__xludf.DUMMYFUNCTION("""COMPUTED_VALUE"""),"круг")</f>
        <v>круг</v>
      </c>
      <c r="C926" s="7" t="str">
        <f ca="1">IFERROR(__xludf.DUMMYFUNCTION("""COMPUTED_VALUE"""),"38хм (ков)")</f>
        <v>38хм (ков)</v>
      </c>
      <c r="D926" s="13">
        <f ca="1">IFERROR(__xludf.DUMMYFUNCTION("""COMPUTED_VALUE"""),500)</f>
        <v>500</v>
      </c>
      <c r="E926" s="13"/>
      <c r="F926" s="14" t="str">
        <f ca="1">IFERROR(__xludf.DUMMYFUNCTION("""COMPUTED_VALUE"""),"ТУ14-1-1530-75;  ОБТ;  ГОСТ 4543-16;  100% УЗК ")</f>
        <v xml:space="preserve">ТУ14-1-1530-75;  ОБТ;  ГОСТ 4543-16;  100% УЗК </v>
      </c>
      <c r="G926" s="15">
        <f ca="1">IFERROR(__xludf.DUMMYFUNCTION("""COMPUTED_VALUE"""),0.329)</f>
        <v>0.32900000000000001</v>
      </c>
      <c r="H926" s="15"/>
      <c r="I926" s="16">
        <f ca="1">IFERROR(__xludf.DUMMYFUNCTION("""COMPUTED_VALUE"""),240000)</f>
        <v>240000</v>
      </c>
    </row>
    <row r="927" spans="2:9" x14ac:dyDescent="0.3">
      <c r="B927" s="12" t="str">
        <f ca="1">IFERROR(__xludf.DUMMYFUNCTION("""COMPUTED_VALUE"""),"круг")</f>
        <v>круг</v>
      </c>
      <c r="C927" s="7" t="str">
        <f ca="1">IFERROR(__xludf.DUMMYFUNCTION("""COMPUTED_VALUE"""),"38хм (ков)")</f>
        <v>38хм (ков)</v>
      </c>
      <c r="D927" s="13">
        <f ca="1">IFERROR(__xludf.DUMMYFUNCTION("""COMPUTED_VALUE"""),500)</f>
        <v>500</v>
      </c>
      <c r="E927" s="13"/>
      <c r="F927" s="14"/>
      <c r="G927" s="15">
        <f ca="1">IFERROR(__xludf.DUMMYFUNCTION("""COMPUTED_VALUE"""),4.843)</f>
        <v>4.843</v>
      </c>
      <c r="H927" s="15"/>
      <c r="I927" s="16">
        <f ca="1">IFERROR(__xludf.DUMMYFUNCTION("""COMPUTED_VALUE"""),240000)</f>
        <v>240000</v>
      </c>
    </row>
    <row r="928" spans="2:9" x14ac:dyDescent="0.3">
      <c r="B928" s="12" t="str">
        <f ca="1">IFERROR(__xludf.DUMMYFUNCTION("""COMPUTED_VALUE"""),"круг")</f>
        <v>круг</v>
      </c>
      <c r="C928" s="7" t="str">
        <f ca="1">IFERROR(__xludf.DUMMYFUNCTION("""COMPUTED_VALUE"""),"38хм (ков)")</f>
        <v>38хм (ков)</v>
      </c>
      <c r="D928" s="13">
        <f ca="1">IFERROR(__xludf.DUMMYFUNCTION("""COMPUTED_VALUE"""),520)</f>
        <v>520</v>
      </c>
      <c r="E928" s="13"/>
      <c r="F928" s="14" t="str">
        <f ca="1">IFERROR(__xludf.DUMMYFUNCTION("""COMPUTED_VALUE""")," УЗК, НМВ")</f>
        <v xml:space="preserve"> УЗК, НМВ</v>
      </c>
      <c r="G928" s="15">
        <f ca="1">IFERROR(__xludf.DUMMYFUNCTION("""COMPUTED_VALUE"""),0.829999999999999)</f>
        <v>0.82999999999999896</v>
      </c>
      <c r="H928" s="15"/>
      <c r="I928" s="16">
        <f ca="1">IFERROR(__xludf.DUMMYFUNCTION("""COMPUTED_VALUE"""),240000)</f>
        <v>240000</v>
      </c>
    </row>
    <row r="929" spans="2:9" x14ac:dyDescent="0.3">
      <c r="B929" s="12" t="str">
        <f ca="1">IFERROR(__xludf.DUMMYFUNCTION("""COMPUTED_VALUE"""),"круг")</f>
        <v>круг</v>
      </c>
      <c r="C929" s="7" t="str">
        <f ca="1">IFERROR(__xludf.DUMMYFUNCTION("""COMPUTED_VALUE"""),"38хм (ков)")</f>
        <v>38хм (ков)</v>
      </c>
      <c r="D929" s="13">
        <f ca="1">IFERROR(__xludf.DUMMYFUNCTION("""COMPUTED_VALUE"""),550)</f>
        <v>550</v>
      </c>
      <c r="E929" s="13"/>
      <c r="F929" s="14" t="str">
        <f ca="1">IFERROR(__xludf.DUMMYFUNCTION("""COMPUTED_VALUE""")," УЗК, НМВ")</f>
        <v xml:space="preserve"> УЗК, НМВ</v>
      </c>
      <c r="G929" s="15">
        <f ca="1">IFERROR(__xludf.DUMMYFUNCTION("""COMPUTED_VALUE"""),0.256999999999999)</f>
        <v>0.25699999999999901</v>
      </c>
      <c r="H929" s="15"/>
      <c r="I929" s="16">
        <f ca="1">IFERROR(__xludf.DUMMYFUNCTION("""COMPUTED_VALUE"""),210000)</f>
        <v>210000</v>
      </c>
    </row>
    <row r="930" spans="2:9" x14ac:dyDescent="0.3">
      <c r="B930" s="12" t="str">
        <f ca="1">IFERROR(__xludf.DUMMYFUNCTION("""COMPUTED_VALUE"""),"круг")</f>
        <v>круг</v>
      </c>
      <c r="C930" s="7" t="str">
        <f ca="1">IFERROR(__xludf.DUMMYFUNCTION("""COMPUTED_VALUE"""),"38хм (ков)")</f>
        <v>38хм (ков)</v>
      </c>
      <c r="D930" s="13">
        <f ca="1">IFERROR(__xludf.DUMMYFUNCTION("""COMPUTED_VALUE"""),550)</f>
        <v>550</v>
      </c>
      <c r="E930" s="13"/>
      <c r="F930" s="14"/>
      <c r="G930" s="15">
        <f ca="1">IFERROR(__xludf.DUMMYFUNCTION("""COMPUTED_VALUE"""),4.928)</f>
        <v>4.9279999999999999</v>
      </c>
      <c r="H930" s="15"/>
      <c r="I930" s="16">
        <f ca="1">IFERROR(__xludf.DUMMYFUNCTION("""COMPUTED_VALUE"""),240000)</f>
        <v>240000</v>
      </c>
    </row>
    <row r="931" spans="2:9" x14ac:dyDescent="0.3">
      <c r="B931" s="12" t="str">
        <f ca="1">IFERROR(__xludf.DUMMYFUNCTION("""COMPUTED_VALUE"""),"круг")</f>
        <v>круг</v>
      </c>
      <c r="C931" s="7" t="str">
        <f ca="1">IFERROR(__xludf.DUMMYFUNCTION("""COMPUTED_VALUE"""),"38хм (ков)")</f>
        <v>38хм (ков)</v>
      </c>
      <c r="D931" s="13">
        <f ca="1">IFERROR(__xludf.DUMMYFUNCTION("""COMPUTED_VALUE"""),600)</f>
        <v>600</v>
      </c>
      <c r="E931" s="13"/>
      <c r="F931" s="14"/>
      <c r="G931" s="15">
        <f ca="1">IFERROR(__xludf.DUMMYFUNCTION("""COMPUTED_VALUE"""),1.589)</f>
        <v>1.589</v>
      </c>
      <c r="H931" s="15"/>
      <c r="I931" s="16">
        <f ca="1">IFERROR(__xludf.DUMMYFUNCTION("""COMPUTED_VALUE"""),240000)</f>
        <v>240000</v>
      </c>
    </row>
    <row r="932" spans="2:9" x14ac:dyDescent="0.3">
      <c r="B932" s="12" t="str">
        <f ca="1">IFERROR(__xludf.DUMMYFUNCTION("""COMPUTED_VALUE"""),"круг")</f>
        <v>круг</v>
      </c>
      <c r="C932" s="7" t="str">
        <f ca="1">IFERROR(__xludf.DUMMYFUNCTION("""COMPUTED_VALUE"""),"38хм (ков)")</f>
        <v>38хм (ков)</v>
      </c>
      <c r="D932" s="13">
        <f ca="1">IFERROR(__xludf.DUMMYFUNCTION("""COMPUTED_VALUE"""),650)</f>
        <v>650</v>
      </c>
      <c r="E932" s="13"/>
      <c r="F932" s="14"/>
      <c r="G932" s="15">
        <f ca="1">IFERROR(__xludf.DUMMYFUNCTION("""COMPUTED_VALUE"""),1.76999999999999)</f>
        <v>1.76999999999999</v>
      </c>
      <c r="H932" s="15"/>
      <c r="I932" s="16">
        <f ca="1">IFERROR(__xludf.DUMMYFUNCTION("""COMPUTED_VALUE"""),240000)</f>
        <v>240000</v>
      </c>
    </row>
    <row r="933" spans="2:9" x14ac:dyDescent="0.3">
      <c r="B933" s="12" t="str">
        <f ca="1">IFERROR(__xludf.DUMMYFUNCTION("""COMPUTED_VALUE"""),"круг")</f>
        <v>круг</v>
      </c>
      <c r="C933" s="7" t="str">
        <f ca="1">IFERROR(__xludf.DUMMYFUNCTION("""COMPUTED_VALUE"""),"38хм (ков)")</f>
        <v>38хм (ков)</v>
      </c>
      <c r="D933" s="13">
        <f ca="1">IFERROR(__xludf.DUMMYFUNCTION("""COMPUTED_VALUE"""),680)</f>
        <v>680</v>
      </c>
      <c r="E933" s="13"/>
      <c r="F933" s="14"/>
      <c r="G933" s="15">
        <f ca="1">IFERROR(__xludf.DUMMYFUNCTION("""COMPUTED_VALUE"""),0.064)</f>
        <v>6.4000000000000001E-2</v>
      </c>
      <c r="H933" s="15"/>
      <c r="I933" s="16">
        <f ca="1">IFERROR(__xludf.DUMMYFUNCTION("""COMPUTED_VALUE"""),240000)</f>
        <v>240000</v>
      </c>
    </row>
    <row r="934" spans="2:9" x14ac:dyDescent="0.3">
      <c r="B934" s="12" t="str">
        <f ca="1">IFERROR(__xludf.DUMMYFUNCTION("""COMPUTED_VALUE"""),"круг")</f>
        <v>круг</v>
      </c>
      <c r="C934" s="7" t="str">
        <f ca="1">IFERROR(__xludf.DUMMYFUNCTION("""COMPUTED_VALUE"""),"38хм (ков)")</f>
        <v>38хм (ков)</v>
      </c>
      <c r="D934" s="13">
        <f ca="1">IFERROR(__xludf.DUMMYFUNCTION("""COMPUTED_VALUE"""),700)</f>
        <v>700</v>
      </c>
      <c r="E934" s="13"/>
      <c r="F934" s="14"/>
      <c r="G934" s="15">
        <f ca="1">IFERROR(__xludf.DUMMYFUNCTION("""COMPUTED_VALUE"""),1.641)</f>
        <v>1.641</v>
      </c>
      <c r="H934" s="15"/>
      <c r="I934" s="16">
        <f ca="1">IFERROR(__xludf.DUMMYFUNCTION("""COMPUTED_VALUE"""),240000)</f>
        <v>240000</v>
      </c>
    </row>
    <row r="935" spans="2:9" x14ac:dyDescent="0.3">
      <c r="B935" s="12" t="str">
        <f ca="1">IFERROR(__xludf.DUMMYFUNCTION("""COMPUTED_VALUE"""),"круг")</f>
        <v>круг</v>
      </c>
      <c r="C935" s="7" t="str">
        <f ca="1">IFERROR(__xludf.DUMMYFUNCTION("""COMPUTED_VALUE"""),"38хм (ков)")</f>
        <v>38хм (ков)</v>
      </c>
      <c r="D935" s="13">
        <f ca="1">IFERROR(__xludf.DUMMYFUNCTION("""COMPUTED_VALUE"""),700)</f>
        <v>700</v>
      </c>
      <c r="E935" s="13"/>
      <c r="F935" s="14"/>
      <c r="G935" s="15">
        <f ca="1">IFERROR(__xludf.DUMMYFUNCTION("""COMPUTED_VALUE"""),6.69)</f>
        <v>6.69</v>
      </c>
      <c r="H935" s="15"/>
      <c r="I935" s="16">
        <f ca="1">IFERROR(__xludf.DUMMYFUNCTION("""COMPUTED_VALUE"""),240000)</f>
        <v>240000</v>
      </c>
    </row>
    <row r="936" spans="2:9" x14ac:dyDescent="0.3">
      <c r="B936" s="12" t="str">
        <f ca="1">IFERROR(__xludf.DUMMYFUNCTION("""COMPUTED_VALUE"""),"круг")</f>
        <v>круг</v>
      </c>
      <c r="C936" s="7" t="str">
        <f ca="1">IFERROR(__xludf.DUMMYFUNCTION("""COMPUTED_VALUE"""),"38хм (ков)")</f>
        <v>38хм (ков)</v>
      </c>
      <c r="D936" s="13">
        <f ca="1">IFERROR(__xludf.DUMMYFUNCTION("""COMPUTED_VALUE"""),750)</f>
        <v>750</v>
      </c>
      <c r="E936" s="13"/>
      <c r="F936" s="14"/>
      <c r="G936" s="15">
        <f ca="1">IFERROR(__xludf.DUMMYFUNCTION("""COMPUTED_VALUE"""),4.53799999999999)</f>
        <v>4.5379999999999896</v>
      </c>
      <c r="H936" s="15"/>
      <c r="I936" s="16">
        <f ca="1">IFERROR(__xludf.DUMMYFUNCTION("""COMPUTED_VALUE"""),240000)</f>
        <v>240000</v>
      </c>
    </row>
  </sheetData>
  <autoFilter ref="B3:I936" xr:uid="{00000000-0009-0000-0000-000001000000}"/>
  <mergeCells count="2">
    <mergeCell ref="A1:J1"/>
    <mergeCell ref="A2:J2"/>
  </mergeCells>
  <conditionalFormatting sqref="F604">
    <cfRule type="notContainsBlanks" dxfId="1" priority="24">
      <formula>LEN(TRIM(F604))&gt;0</formula>
    </cfRule>
  </conditionalFormatting>
  <conditionalFormatting sqref="F623">
    <cfRule type="notContainsBlanks" dxfId="0" priority="21">
      <formula>LEN(TRIM(F623))&gt;0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СКЛАД 1</vt:lpstr>
      <vt:lpstr>СКЛАД 2</vt:lpstr>
      <vt:lpstr>'СКЛАД 1'!Область_печати</vt:lpstr>
    </vt:vector>
  </TitlesOfParts>
  <Company>Тех Групп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</dc:creator>
  <cp:lastModifiedBy>Grigorii</cp:lastModifiedBy>
  <cp:lastPrinted>2026-08-15T10:33:00Z</cp:lastPrinted>
  <dcterms:created xsi:type="dcterms:W3CDTF">2013-05-20T06:14:00Z</dcterms:created>
  <dcterms:modified xsi:type="dcterms:W3CDTF">2026-10-22T19:11:39Z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A4FA37D0CB624E378A0A8AD316200ABE_12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