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igorii\Desktop\"/>
    </mc:Choice>
  </mc:AlternateContent>
  <xr:revisionPtr revIDLastSave="0" documentId="8_{AFB64A1C-2039-4A27-88B3-FD10C4730AC5}" xr6:coauthVersionLast="47" xr6:coauthVersionMax="47" xr10:uidLastSave="{00000000-0000-0000-0000-000000000000}"/>
  <bookViews>
    <workbookView xWindow="6555" yWindow="585" windowWidth="19425" windowHeight="14325" tabRatio="771" xr2:uid="{00000000-000D-0000-FFFF-FFFF00000000}"/>
  </bookViews>
  <sheets>
    <sheet name="СКЛАД 1" sheetId="4" r:id="rId1"/>
    <sheet name="СКЛАД 2" sheetId="16" r:id="rId2"/>
  </sheets>
  <definedNames>
    <definedName name="_xlnm._FilterDatabase" localSheetId="0" hidden="1">'СКЛАД 1'!$B$3:$BP$612</definedName>
    <definedName name="_xlnm._FilterDatabase" localSheetId="1" hidden="1">'СКЛАД 2'!$B$3:$I$3</definedName>
    <definedName name="_xlnm.Print_Area" localSheetId="0">'СКЛАД 1'!$B$2:$K$519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22" i="16" l="1"/>
  <c r="G822" i="16"/>
  <c r="D822" i="16"/>
  <c r="C822" i="16"/>
  <c r="B822" i="16"/>
  <c r="I821" i="16"/>
  <c r="G821" i="16"/>
  <c r="D821" i="16"/>
  <c r="C821" i="16"/>
  <c r="B821" i="16"/>
  <c r="I820" i="16"/>
  <c r="G820" i="16"/>
  <c r="D820" i="16"/>
  <c r="C820" i="16"/>
  <c r="B820" i="16"/>
  <c r="I819" i="16"/>
  <c r="G819" i="16"/>
  <c r="D819" i="16"/>
  <c r="C819" i="16"/>
  <c r="B819" i="16"/>
  <c r="I818" i="16"/>
  <c r="G818" i="16"/>
  <c r="D818" i="16"/>
  <c r="C818" i="16"/>
  <c r="B818" i="16"/>
  <c r="I817" i="16"/>
  <c r="G817" i="16"/>
  <c r="D817" i="16"/>
  <c r="C817" i="16"/>
  <c r="B817" i="16"/>
  <c r="I816" i="16"/>
  <c r="G816" i="16"/>
  <c r="D816" i="16"/>
  <c r="C816" i="16"/>
  <c r="B816" i="16"/>
  <c r="I815" i="16"/>
  <c r="G815" i="16"/>
  <c r="F815" i="16"/>
  <c r="D815" i="16"/>
  <c r="C815" i="16"/>
  <c r="B815" i="16"/>
  <c r="I814" i="16"/>
  <c r="G814" i="16"/>
  <c r="F814" i="16"/>
  <c r="D814" i="16"/>
  <c r="C814" i="16"/>
  <c r="B814" i="16"/>
  <c r="I813" i="16"/>
  <c r="G813" i="16"/>
  <c r="D813" i="16"/>
  <c r="C813" i="16"/>
  <c r="B813" i="16"/>
  <c r="I812" i="16"/>
  <c r="G812" i="16"/>
  <c r="F812" i="16"/>
  <c r="D812" i="16"/>
  <c r="C812" i="16"/>
  <c r="B812" i="16"/>
  <c r="I811" i="16"/>
  <c r="G811" i="16"/>
  <c r="F811" i="16"/>
  <c r="D811" i="16"/>
  <c r="C811" i="16"/>
  <c r="B811" i="16"/>
  <c r="I810" i="16"/>
  <c r="G810" i="16"/>
  <c r="D810" i="16"/>
  <c r="C810" i="16"/>
  <c r="B810" i="16"/>
  <c r="I809" i="16"/>
  <c r="G809" i="16"/>
  <c r="F809" i="16"/>
  <c r="D809" i="16"/>
  <c r="C809" i="16"/>
  <c r="B809" i="16"/>
  <c r="I808" i="16"/>
  <c r="G808" i="16"/>
  <c r="F808" i="16"/>
  <c r="D808" i="16"/>
  <c r="C808" i="16"/>
  <c r="B808" i="16"/>
  <c r="I807" i="16"/>
  <c r="G807" i="16"/>
  <c r="F807" i="16"/>
  <c r="D807" i="16"/>
  <c r="C807" i="16"/>
  <c r="B807" i="16"/>
  <c r="I806" i="16"/>
  <c r="G806" i="16"/>
  <c r="D806" i="16"/>
  <c r="C806" i="16"/>
  <c r="B806" i="16"/>
  <c r="I805" i="16"/>
  <c r="G805" i="16"/>
  <c r="F805" i="16"/>
  <c r="D805" i="16"/>
  <c r="C805" i="16"/>
  <c r="B805" i="16"/>
  <c r="I804" i="16"/>
  <c r="G804" i="16"/>
  <c r="F804" i="16"/>
  <c r="D804" i="16"/>
  <c r="C804" i="16"/>
  <c r="B804" i="16"/>
  <c r="I803" i="16"/>
  <c r="G803" i="16"/>
  <c r="F803" i="16"/>
  <c r="D803" i="16"/>
  <c r="C803" i="16"/>
  <c r="B803" i="16"/>
  <c r="I802" i="16"/>
  <c r="G802" i="16"/>
  <c r="F802" i="16"/>
  <c r="D802" i="16"/>
  <c r="C802" i="16"/>
  <c r="B802" i="16"/>
  <c r="I801" i="16"/>
  <c r="G801" i="16"/>
  <c r="F801" i="16"/>
  <c r="D801" i="16"/>
  <c r="C801" i="16"/>
  <c r="B801" i="16"/>
  <c r="I800" i="16"/>
  <c r="G800" i="16"/>
  <c r="F800" i="16"/>
  <c r="D800" i="16"/>
  <c r="C800" i="16"/>
  <c r="B800" i="16"/>
  <c r="I799" i="16"/>
  <c r="G799" i="16"/>
  <c r="F799" i="16"/>
  <c r="D799" i="16"/>
  <c r="C799" i="16"/>
  <c r="B799" i="16"/>
  <c r="I798" i="16"/>
  <c r="G798" i="16"/>
  <c r="F798" i="16"/>
  <c r="D798" i="16"/>
  <c r="C798" i="16"/>
  <c r="B798" i="16"/>
  <c r="I797" i="16"/>
  <c r="G797" i="16"/>
  <c r="D797" i="16"/>
  <c r="C797" i="16"/>
  <c r="B797" i="16"/>
  <c r="I796" i="16"/>
  <c r="G796" i="16"/>
  <c r="D796" i="16"/>
  <c r="C796" i="16"/>
  <c r="B796" i="16"/>
  <c r="I795" i="16"/>
  <c r="G795" i="16"/>
  <c r="F795" i="16"/>
  <c r="D795" i="16"/>
  <c r="C795" i="16"/>
  <c r="B795" i="16"/>
  <c r="I794" i="16"/>
  <c r="G794" i="16"/>
  <c r="F794" i="16"/>
  <c r="D794" i="16"/>
  <c r="C794" i="16"/>
  <c r="B794" i="16"/>
  <c r="I793" i="16"/>
  <c r="G793" i="16"/>
  <c r="F793" i="16"/>
  <c r="D793" i="16"/>
  <c r="C793" i="16"/>
  <c r="B793" i="16"/>
  <c r="I792" i="16"/>
  <c r="G792" i="16"/>
  <c r="F792" i="16"/>
  <c r="D792" i="16"/>
  <c r="C792" i="16"/>
  <c r="B792" i="16"/>
  <c r="I791" i="16"/>
  <c r="G791" i="16"/>
  <c r="F791" i="16"/>
  <c r="D791" i="16"/>
  <c r="C791" i="16"/>
  <c r="B791" i="16"/>
  <c r="I790" i="16"/>
  <c r="G790" i="16"/>
  <c r="F790" i="16"/>
  <c r="D790" i="16"/>
  <c r="C790" i="16"/>
  <c r="B790" i="16"/>
  <c r="I789" i="16"/>
  <c r="G789" i="16"/>
  <c r="F789" i="16"/>
  <c r="D789" i="16"/>
  <c r="C789" i="16"/>
  <c r="B789" i="16"/>
  <c r="I788" i="16"/>
  <c r="G788" i="16"/>
  <c r="F788" i="16"/>
  <c r="D788" i="16"/>
  <c r="C788" i="16"/>
  <c r="B788" i="16"/>
  <c r="I787" i="16"/>
  <c r="G787" i="16"/>
  <c r="F787" i="16"/>
  <c r="D787" i="16"/>
  <c r="C787" i="16"/>
  <c r="B787" i="16"/>
  <c r="I786" i="16"/>
  <c r="G786" i="16"/>
  <c r="F786" i="16"/>
  <c r="D786" i="16"/>
  <c r="C786" i="16"/>
  <c r="B786" i="16"/>
  <c r="I785" i="16"/>
  <c r="G785" i="16"/>
  <c r="F785" i="16"/>
  <c r="D785" i="16"/>
  <c r="C785" i="16"/>
  <c r="B785" i="16"/>
  <c r="I784" i="16"/>
  <c r="G784" i="16"/>
  <c r="F784" i="16"/>
  <c r="D784" i="16"/>
  <c r="C784" i="16"/>
  <c r="B784" i="16"/>
  <c r="I783" i="16"/>
  <c r="G783" i="16"/>
  <c r="F783" i="16"/>
  <c r="D783" i="16"/>
  <c r="C783" i="16"/>
  <c r="B783" i="16"/>
  <c r="I782" i="16"/>
  <c r="G782" i="16"/>
  <c r="F782" i="16"/>
  <c r="D782" i="16"/>
  <c r="C782" i="16"/>
  <c r="B782" i="16"/>
  <c r="I781" i="16"/>
  <c r="G781" i="16"/>
  <c r="F781" i="16"/>
  <c r="D781" i="16"/>
  <c r="C781" i="16"/>
  <c r="B781" i="16"/>
  <c r="I780" i="16"/>
  <c r="G780" i="16"/>
  <c r="F780" i="16"/>
  <c r="D780" i="16"/>
  <c r="C780" i="16"/>
  <c r="B780" i="16"/>
  <c r="I779" i="16"/>
  <c r="G779" i="16"/>
  <c r="F779" i="16"/>
  <c r="D779" i="16"/>
  <c r="C779" i="16"/>
  <c r="B779" i="16"/>
  <c r="I778" i="16"/>
  <c r="G778" i="16"/>
  <c r="F778" i="16"/>
  <c r="D778" i="16"/>
  <c r="C778" i="16"/>
  <c r="B778" i="16"/>
  <c r="I777" i="16"/>
  <c r="G777" i="16"/>
  <c r="F777" i="16"/>
  <c r="D777" i="16"/>
  <c r="C777" i="16"/>
  <c r="B777" i="16"/>
  <c r="I776" i="16"/>
  <c r="G776" i="16"/>
  <c r="F776" i="16"/>
  <c r="D776" i="16"/>
  <c r="C776" i="16"/>
  <c r="B776" i="16"/>
  <c r="I775" i="16"/>
  <c r="G775" i="16"/>
  <c r="F775" i="16"/>
  <c r="D775" i="16"/>
  <c r="C775" i="16"/>
  <c r="B775" i="16"/>
  <c r="I774" i="16"/>
  <c r="G774" i="16"/>
  <c r="F774" i="16"/>
  <c r="D774" i="16"/>
  <c r="C774" i="16"/>
  <c r="B774" i="16"/>
  <c r="I773" i="16"/>
  <c r="G773" i="16"/>
  <c r="F773" i="16"/>
  <c r="D773" i="16"/>
  <c r="C773" i="16"/>
  <c r="B773" i="16"/>
  <c r="I772" i="16"/>
  <c r="G772" i="16"/>
  <c r="F772" i="16"/>
  <c r="D772" i="16"/>
  <c r="C772" i="16"/>
  <c r="B772" i="16"/>
  <c r="I771" i="16"/>
  <c r="G771" i="16"/>
  <c r="F771" i="16"/>
  <c r="D771" i="16"/>
  <c r="C771" i="16"/>
  <c r="B771" i="16"/>
  <c r="I770" i="16"/>
  <c r="G770" i="16"/>
  <c r="F770" i="16"/>
  <c r="D770" i="16"/>
  <c r="C770" i="16"/>
  <c r="B770" i="16"/>
  <c r="I769" i="16"/>
  <c r="G769" i="16"/>
  <c r="F769" i="16"/>
  <c r="D769" i="16"/>
  <c r="C769" i="16"/>
  <c r="B769" i="16"/>
  <c r="I768" i="16"/>
  <c r="G768" i="16"/>
  <c r="F768" i="16"/>
  <c r="D768" i="16"/>
  <c r="C768" i="16"/>
  <c r="B768" i="16"/>
  <c r="I767" i="16"/>
  <c r="G767" i="16"/>
  <c r="F767" i="16"/>
  <c r="D767" i="16"/>
  <c r="C767" i="16"/>
  <c r="B767" i="16"/>
  <c r="I766" i="16"/>
  <c r="G766" i="16"/>
  <c r="F766" i="16"/>
  <c r="D766" i="16"/>
  <c r="C766" i="16"/>
  <c r="B766" i="16"/>
  <c r="I765" i="16"/>
  <c r="G765" i="16"/>
  <c r="F765" i="16"/>
  <c r="D765" i="16"/>
  <c r="C765" i="16"/>
  <c r="B765" i="16"/>
  <c r="I764" i="16"/>
  <c r="G764" i="16"/>
  <c r="F764" i="16"/>
  <c r="D764" i="16"/>
  <c r="C764" i="16"/>
  <c r="B764" i="16"/>
  <c r="I763" i="16"/>
  <c r="G763" i="16"/>
  <c r="F763" i="16"/>
  <c r="D763" i="16"/>
  <c r="C763" i="16"/>
  <c r="B763" i="16"/>
  <c r="I762" i="16"/>
  <c r="G762" i="16"/>
  <c r="F762" i="16"/>
  <c r="D762" i="16"/>
  <c r="C762" i="16"/>
  <c r="B762" i="16"/>
  <c r="I761" i="16"/>
  <c r="G761" i="16"/>
  <c r="F761" i="16"/>
  <c r="D761" i="16"/>
  <c r="C761" i="16"/>
  <c r="B761" i="16"/>
  <c r="I760" i="16"/>
  <c r="G760" i="16"/>
  <c r="F760" i="16"/>
  <c r="D760" i="16"/>
  <c r="C760" i="16"/>
  <c r="B760" i="16"/>
  <c r="I759" i="16"/>
  <c r="G759" i="16"/>
  <c r="F759" i="16"/>
  <c r="D759" i="16"/>
  <c r="C759" i="16"/>
  <c r="B759" i="16"/>
  <c r="I758" i="16"/>
  <c r="G758" i="16"/>
  <c r="F758" i="16"/>
  <c r="D758" i="16"/>
  <c r="C758" i="16"/>
  <c r="B758" i="16"/>
  <c r="I757" i="16"/>
  <c r="G757" i="16"/>
  <c r="F757" i="16"/>
  <c r="D757" i="16"/>
  <c r="C757" i="16"/>
  <c r="B757" i="16"/>
  <c r="I756" i="16"/>
  <c r="G756" i="16"/>
  <c r="F756" i="16"/>
  <c r="D756" i="16"/>
  <c r="C756" i="16"/>
  <c r="B756" i="16"/>
  <c r="I755" i="16"/>
  <c r="G755" i="16"/>
  <c r="F755" i="16"/>
  <c r="D755" i="16"/>
  <c r="C755" i="16"/>
  <c r="B755" i="16"/>
  <c r="I754" i="16"/>
  <c r="G754" i="16"/>
  <c r="F754" i="16"/>
  <c r="D754" i="16"/>
  <c r="C754" i="16"/>
  <c r="B754" i="16"/>
  <c r="I753" i="16"/>
  <c r="G753" i="16"/>
  <c r="F753" i="16"/>
  <c r="D753" i="16"/>
  <c r="C753" i="16"/>
  <c r="B753" i="16"/>
  <c r="I752" i="16"/>
  <c r="G752" i="16"/>
  <c r="F752" i="16"/>
  <c r="D752" i="16"/>
  <c r="C752" i="16"/>
  <c r="B752" i="16"/>
  <c r="I751" i="16"/>
  <c r="G751" i="16"/>
  <c r="F751" i="16"/>
  <c r="D751" i="16"/>
  <c r="C751" i="16"/>
  <c r="B751" i="16"/>
  <c r="I750" i="16"/>
  <c r="G750" i="16"/>
  <c r="F750" i="16"/>
  <c r="D750" i="16"/>
  <c r="C750" i="16"/>
  <c r="B750" i="16"/>
  <c r="I749" i="16"/>
  <c r="G749" i="16"/>
  <c r="F749" i="16"/>
  <c r="D749" i="16"/>
  <c r="C749" i="16"/>
  <c r="B749" i="16"/>
  <c r="I748" i="16"/>
  <c r="G748" i="16"/>
  <c r="F748" i="16"/>
  <c r="D748" i="16"/>
  <c r="C748" i="16"/>
  <c r="B748" i="16"/>
  <c r="I747" i="16"/>
  <c r="G747" i="16"/>
  <c r="F747" i="16"/>
  <c r="D747" i="16"/>
  <c r="C747" i="16"/>
  <c r="B747" i="16"/>
  <c r="I746" i="16"/>
  <c r="G746" i="16"/>
  <c r="F746" i="16"/>
  <c r="D746" i="16"/>
  <c r="C746" i="16"/>
  <c r="B746" i="16"/>
  <c r="I745" i="16"/>
  <c r="G745" i="16"/>
  <c r="F745" i="16"/>
  <c r="D745" i="16"/>
  <c r="C745" i="16"/>
  <c r="B745" i="16"/>
  <c r="I744" i="16"/>
  <c r="G744" i="16"/>
  <c r="F744" i="16"/>
  <c r="D744" i="16"/>
  <c r="C744" i="16"/>
  <c r="B744" i="16"/>
  <c r="I743" i="16"/>
  <c r="G743" i="16"/>
  <c r="F743" i="16"/>
  <c r="D743" i="16"/>
  <c r="C743" i="16"/>
  <c r="B743" i="16"/>
  <c r="I742" i="16"/>
  <c r="G742" i="16"/>
  <c r="F742" i="16"/>
  <c r="D742" i="16"/>
  <c r="C742" i="16"/>
  <c r="B742" i="16"/>
  <c r="I741" i="16"/>
  <c r="G741" i="16"/>
  <c r="F741" i="16"/>
  <c r="D741" i="16"/>
  <c r="C741" i="16"/>
  <c r="B741" i="16"/>
  <c r="I740" i="16"/>
  <c r="G740" i="16"/>
  <c r="D740" i="16"/>
  <c r="C740" i="16"/>
  <c r="B740" i="16"/>
  <c r="I739" i="16"/>
  <c r="G739" i="16"/>
  <c r="F739" i="16"/>
  <c r="D739" i="16"/>
  <c r="C739" i="16"/>
  <c r="B739" i="16"/>
  <c r="I738" i="16"/>
  <c r="G738" i="16"/>
  <c r="F738" i="16"/>
  <c r="D738" i="16"/>
  <c r="C738" i="16"/>
  <c r="B738" i="16"/>
  <c r="I737" i="16"/>
  <c r="G737" i="16"/>
  <c r="F737" i="16"/>
  <c r="D737" i="16"/>
  <c r="C737" i="16"/>
  <c r="B737" i="16"/>
  <c r="I736" i="16"/>
  <c r="G736" i="16"/>
  <c r="D736" i="16"/>
  <c r="C736" i="16"/>
  <c r="B736" i="16"/>
  <c r="I735" i="16"/>
  <c r="G735" i="16"/>
  <c r="F735" i="16"/>
  <c r="D735" i="16"/>
  <c r="C735" i="16"/>
  <c r="B735" i="16"/>
  <c r="I734" i="16"/>
  <c r="G734" i="16"/>
  <c r="D734" i="16"/>
  <c r="C734" i="16"/>
  <c r="B734" i="16"/>
  <c r="I733" i="16"/>
  <c r="G733" i="16"/>
  <c r="F733" i="16"/>
  <c r="D733" i="16"/>
  <c r="C733" i="16"/>
  <c r="B733" i="16"/>
  <c r="I732" i="16"/>
  <c r="G732" i="16"/>
  <c r="F732" i="16"/>
  <c r="D732" i="16"/>
  <c r="C732" i="16"/>
  <c r="B732" i="16"/>
  <c r="I731" i="16"/>
  <c r="G731" i="16"/>
  <c r="D731" i="16"/>
  <c r="C731" i="16"/>
  <c r="B731" i="16"/>
  <c r="I730" i="16"/>
  <c r="G730" i="16"/>
  <c r="F730" i="16"/>
  <c r="D730" i="16"/>
  <c r="C730" i="16"/>
  <c r="B730" i="16"/>
  <c r="I729" i="16"/>
  <c r="G729" i="16"/>
  <c r="F729" i="16"/>
  <c r="D729" i="16"/>
  <c r="C729" i="16"/>
  <c r="B729" i="16"/>
  <c r="I728" i="16"/>
  <c r="G728" i="16"/>
  <c r="F728" i="16"/>
  <c r="D728" i="16"/>
  <c r="C728" i="16"/>
  <c r="B728" i="16"/>
  <c r="I727" i="16"/>
  <c r="G727" i="16"/>
  <c r="F727" i="16"/>
  <c r="D727" i="16"/>
  <c r="C727" i="16"/>
  <c r="B727" i="16"/>
  <c r="I726" i="16"/>
  <c r="G726" i="16"/>
  <c r="F726" i="16"/>
  <c r="D726" i="16"/>
  <c r="C726" i="16"/>
  <c r="B726" i="16"/>
  <c r="I725" i="16"/>
  <c r="G725" i="16"/>
  <c r="F725" i="16"/>
  <c r="D725" i="16"/>
  <c r="C725" i="16"/>
  <c r="B725" i="16"/>
  <c r="I724" i="16"/>
  <c r="G724" i="16"/>
  <c r="F724" i="16"/>
  <c r="D724" i="16"/>
  <c r="C724" i="16"/>
  <c r="B724" i="16"/>
  <c r="I723" i="16"/>
  <c r="G723" i="16"/>
  <c r="F723" i="16"/>
  <c r="D723" i="16"/>
  <c r="C723" i="16"/>
  <c r="B723" i="16"/>
  <c r="I722" i="16"/>
  <c r="G722" i="16"/>
  <c r="F722" i="16"/>
  <c r="D722" i="16"/>
  <c r="C722" i="16"/>
  <c r="B722" i="16"/>
  <c r="I721" i="16"/>
  <c r="G721" i="16"/>
  <c r="F721" i="16"/>
  <c r="D721" i="16"/>
  <c r="C721" i="16"/>
  <c r="B721" i="16"/>
  <c r="I720" i="16"/>
  <c r="G720" i="16"/>
  <c r="F720" i="16"/>
  <c r="D720" i="16"/>
  <c r="C720" i="16"/>
  <c r="B720" i="16"/>
  <c r="I719" i="16"/>
  <c r="G719" i="16"/>
  <c r="F719" i="16"/>
  <c r="D719" i="16"/>
  <c r="C719" i="16"/>
  <c r="B719" i="16"/>
  <c r="I718" i="16"/>
  <c r="G718" i="16"/>
  <c r="F718" i="16"/>
  <c r="D718" i="16"/>
  <c r="C718" i="16"/>
  <c r="B718" i="16"/>
  <c r="I717" i="16"/>
  <c r="G717" i="16"/>
  <c r="D717" i="16"/>
  <c r="C717" i="16"/>
  <c r="B717" i="16"/>
  <c r="I716" i="16"/>
  <c r="G716" i="16"/>
  <c r="F716" i="16"/>
  <c r="D716" i="16"/>
  <c r="C716" i="16"/>
  <c r="B716" i="16"/>
  <c r="I715" i="16"/>
  <c r="G715" i="16"/>
  <c r="F715" i="16"/>
  <c r="D715" i="16"/>
  <c r="C715" i="16"/>
  <c r="B715" i="16"/>
  <c r="I714" i="16"/>
  <c r="G714" i="16"/>
  <c r="F714" i="16"/>
  <c r="D714" i="16"/>
  <c r="C714" i="16"/>
  <c r="B714" i="16"/>
  <c r="I713" i="16"/>
  <c r="G713" i="16"/>
  <c r="F713" i="16"/>
  <c r="D713" i="16"/>
  <c r="C713" i="16"/>
  <c r="B713" i="16"/>
  <c r="I712" i="16"/>
  <c r="G712" i="16"/>
  <c r="F712" i="16"/>
  <c r="D712" i="16"/>
  <c r="C712" i="16"/>
  <c r="B712" i="16"/>
  <c r="I711" i="16"/>
  <c r="G711" i="16"/>
  <c r="F711" i="16"/>
  <c r="D711" i="16"/>
  <c r="C711" i="16"/>
  <c r="B711" i="16"/>
  <c r="I710" i="16"/>
  <c r="G710" i="16"/>
  <c r="F710" i="16"/>
  <c r="D710" i="16"/>
  <c r="C710" i="16"/>
  <c r="B710" i="16"/>
  <c r="I709" i="16"/>
  <c r="G709" i="16"/>
  <c r="D709" i="16"/>
  <c r="C709" i="16"/>
  <c r="B709" i="16"/>
  <c r="I708" i="16"/>
  <c r="G708" i="16"/>
  <c r="F708" i="16"/>
  <c r="D708" i="16"/>
  <c r="C708" i="16"/>
  <c r="B708" i="16"/>
  <c r="I707" i="16"/>
  <c r="G707" i="16"/>
  <c r="F707" i="16"/>
  <c r="D707" i="16"/>
  <c r="C707" i="16"/>
  <c r="B707" i="16"/>
  <c r="I706" i="16"/>
  <c r="G706" i="16"/>
  <c r="F706" i="16"/>
  <c r="D706" i="16"/>
  <c r="C706" i="16"/>
  <c r="B706" i="16"/>
  <c r="I705" i="16"/>
  <c r="G705" i="16"/>
  <c r="D705" i="16"/>
  <c r="C705" i="16"/>
  <c r="B705" i="16"/>
  <c r="I704" i="16"/>
  <c r="G704" i="16"/>
  <c r="F704" i="16"/>
  <c r="D704" i="16"/>
  <c r="C704" i="16"/>
  <c r="B704" i="16"/>
  <c r="I703" i="16"/>
  <c r="G703" i="16"/>
  <c r="F703" i="16"/>
  <c r="D703" i="16"/>
  <c r="C703" i="16"/>
  <c r="B703" i="16"/>
  <c r="I702" i="16"/>
  <c r="G702" i="16"/>
  <c r="D702" i="16"/>
  <c r="C702" i="16"/>
  <c r="B702" i="16"/>
  <c r="I701" i="16"/>
  <c r="G701" i="16"/>
  <c r="F701" i="16"/>
  <c r="D701" i="16"/>
  <c r="C701" i="16"/>
  <c r="B701" i="16"/>
  <c r="I700" i="16"/>
  <c r="G700" i="16"/>
  <c r="D700" i="16"/>
  <c r="C700" i="16"/>
  <c r="B700" i="16"/>
  <c r="I699" i="16"/>
  <c r="G699" i="16"/>
  <c r="D699" i="16"/>
  <c r="C699" i="16"/>
  <c r="B699" i="16"/>
  <c r="I698" i="16"/>
  <c r="G698" i="16"/>
  <c r="D698" i="16"/>
  <c r="C698" i="16"/>
  <c r="B698" i="16"/>
  <c r="I697" i="16"/>
  <c r="G697" i="16"/>
  <c r="D697" i="16"/>
  <c r="C697" i="16"/>
  <c r="B697" i="16"/>
  <c r="I696" i="16"/>
  <c r="G696" i="16"/>
  <c r="F696" i="16"/>
  <c r="D696" i="16"/>
  <c r="C696" i="16"/>
  <c r="B696" i="16"/>
  <c r="I695" i="16"/>
  <c r="G695" i="16"/>
  <c r="F695" i="16"/>
  <c r="D695" i="16"/>
  <c r="C695" i="16"/>
  <c r="B695" i="16"/>
  <c r="I694" i="16"/>
  <c r="G694" i="16"/>
  <c r="F694" i="16"/>
  <c r="D694" i="16"/>
  <c r="C694" i="16"/>
  <c r="B694" i="16"/>
  <c r="I693" i="16"/>
  <c r="G693" i="16"/>
  <c r="F693" i="16"/>
  <c r="D693" i="16"/>
  <c r="C693" i="16"/>
  <c r="B693" i="16"/>
  <c r="I692" i="16"/>
  <c r="G692" i="16"/>
  <c r="F692" i="16"/>
  <c r="D692" i="16"/>
  <c r="C692" i="16"/>
  <c r="B692" i="16"/>
  <c r="I691" i="16"/>
  <c r="G691" i="16"/>
  <c r="F691" i="16"/>
  <c r="D691" i="16"/>
  <c r="C691" i="16"/>
  <c r="B691" i="16"/>
  <c r="I690" i="16"/>
  <c r="G690" i="16"/>
  <c r="F690" i="16"/>
  <c r="D690" i="16"/>
  <c r="C690" i="16"/>
  <c r="B690" i="16"/>
  <c r="I689" i="16"/>
  <c r="G689" i="16"/>
  <c r="F689" i="16"/>
  <c r="D689" i="16"/>
  <c r="C689" i="16"/>
  <c r="B689" i="16"/>
  <c r="I688" i="16"/>
  <c r="G688" i="16"/>
  <c r="F688" i="16"/>
  <c r="D688" i="16"/>
  <c r="C688" i="16"/>
  <c r="B688" i="16"/>
  <c r="I687" i="16"/>
  <c r="G687" i="16"/>
  <c r="F687" i="16"/>
  <c r="D687" i="16"/>
  <c r="C687" i="16"/>
  <c r="B687" i="16"/>
  <c r="I686" i="16"/>
  <c r="G686" i="16"/>
  <c r="F686" i="16"/>
  <c r="D686" i="16"/>
  <c r="C686" i="16"/>
  <c r="B686" i="16"/>
  <c r="I685" i="16"/>
  <c r="G685" i="16"/>
  <c r="F685" i="16"/>
  <c r="D685" i="16"/>
  <c r="C685" i="16"/>
  <c r="B685" i="16"/>
  <c r="I684" i="16"/>
  <c r="G684" i="16"/>
  <c r="F684" i="16"/>
  <c r="D684" i="16"/>
  <c r="C684" i="16"/>
  <c r="B684" i="16"/>
  <c r="I683" i="16"/>
  <c r="G683" i="16"/>
  <c r="F683" i="16"/>
  <c r="D683" i="16"/>
  <c r="C683" i="16"/>
  <c r="B683" i="16"/>
  <c r="I682" i="16"/>
  <c r="G682" i="16"/>
  <c r="F682" i="16"/>
  <c r="D682" i="16"/>
  <c r="C682" i="16"/>
  <c r="B682" i="16"/>
  <c r="I681" i="16"/>
  <c r="G681" i="16"/>
  <c r="F681" i="16"/>
  <c r="D681" i="16"/>
  <c r="C681" i="16"/>
  <c r="B681" i="16"/>
  <c r="I680" i="16"/>
  <c r="G680" i="16"/>
  <c r="F680" i="16"/>
  <c r="D680" i="16"/>
  <c r="C680" i="16"/>
  <c r="B680" i="16"/>
  <c r="I679" i="16"/>
  <c r="G679" i="16"/>
  <c r="F679" i="16"/>
  <c r="D679" i="16"/>
  <c r="C679" i="16"/>
  <c r="B679" i="16"/>
  <c r="I678" i="16"/>
  <c r="G678" i="16"/>
  <c r="F678" i="16"/>
  <c r="D678" i="16"/>
  <c r="C678" i="16"/>
  <c r="B678" i="16"/>
  <c r="I677" i="16"/>
  <c r="G677" i="16"/>
  <c r="F677" i="16"/>
  <c r="D677" i="16"/>
  <c r="C677" i="16"/>
  <c r="B677" i="16"/>
  <c r="I676" i="16"/>
  <c r="G676" i="16"/>
  <c r="F676" i="16"/>
  <c r="D676" i="16"/>
  <c r="C676" i="16"/>
  <c r="B676" i="16"/>
  <c r="I675" i="16"/>
  <c r="G675" i="16"/>
  <c r="F675" i="16"/>
  <c r="D675" i="16"/>
  <c r="C675" i="16"/>
  <c r="B675" i="16"/>
  <c r="I674" i="16"/>
  <c r="G674" i="16"/>
  <c r="F674" i="16"/>
  <c r="D674" i="16"/>
  <c r="C674" i="16"/>
  <c r="B674" i="16"/>
  <c r="I673" i="16"/>
  <c r="G673" i="16"/>
  <c r="F673" i="16"/>
  <c r="D673" i="16"/>
  <c r="C673" i="16"/>
  <c r="B673" i="16"/>
  <c r="I672" i="16"/>
  <c r="G672" i="16"/>
  <c r="F672" i="16"/>
  <c r="D672" i="16"/>
  <c r="C672" i="16"/>
  <c r="B672" i="16"/>
  <c r="I671" i="16"/>
  <c r="G671" i="16"/>
  <c r="F671" i="16"/>
  <c r="D671" i="16"/>
  <c r="C671" i="16"/>
  <c r="B671" i="16"/>
  <c r="I670" i="16"/>
  <c r="G670" i="16"/>
  <c r="F670" i="16"/>
  <c r="D670" i="16"/>
  <c r="C670" i="16"/>
  <c r="B670" i="16"/>
  <c r="I669" i="16"/>
  <c r="G669" i="16"/>
  <c r="F669" i="16"/>
  <c r="D669" i="16"/>
  <c r="C669" i="16"/>
  <c r="B669" i="16"/>
  <c r="I668" i="16"/>
  <c r="G668" i="16"/>
  <c r="F668" i="16"/>
  <c r="D668" i="16"/>
  <c r="C668" i="16"/>
  <c r="B668" i="16"/>
  <c r="I667" i="16"/>
  <c r="G667" i="16"/>
  <c r="F667" i="16"/>
  <c r="D667" i="16"/>
  <c r="C667" i="16"/>
  <c r="B667" i="16"/>
  <c r="I666" i="16"/>
  <c r="G666" i="16"/>
  <c r="F666" i="16"/>
  <c r="D666" i="16"/>
  <c r="C666" i="16"/>
  <c r="B666" i="16"/>
  <c r="I665" i="16"/>
  <c r="G665" i="16"/>
  <c r="F665" i="16"/>
  <c r="D665" i="16"/>
  <c r="C665" i="16"/>
  <c r="B665" i="16"/>
  <c r="I664" i="16"/>
  <c r="G664" i="16"/>
  <c r="F664" i="16"/>
  <c r="D664" i="16"/>
  <c r="C664" i="16"/>
  <c r="B664" i="16"/>
  <c r="I663" i="16"/>
  <c r="G663" i="16"/>
  <c r="F663" i="16"/>
  <c r="D663" i="16"/>
  <c r="C663" i="16"/>
  <c r="B663" i="16"/>
  <c r="I662" i="16"/>
  <c r="G662" i="16"/>
  <c r="F662" i="16"/>
  <c r="D662" i="16"/>
  <c r="C662" i="16"/>
  <c r="B662" i="16"/>
  <c r="I661" i="16"/>
  <c r="G661" i="16"/>
  <c r="F661" i="16"/>
  <c r="D661" i="16"/>
  <c r="C661" i="16"/>
  <c r="B661" i="16"/>
  <c r="I660" i="16"/>
  <c r="G660" i="16"/>
  <c r="F660" i="16"/>
  <c r="D660" i="16"/>
  <c r="C660" i="16"/>
  <c r="B660" i="16"/>
  <c r="I659" i="16"/>
  <c r="G659" i="16"/>
  <c r="F659" i="16"/>
  <c r="D659" i="16"/>
  <c r="C659" i="16"/>
  <c r="B659" i="16"/>
  <c r="I658" i="16"/>
  <c r="G658" i="16"/>
  <c r="F658" i="16"/>
  <c r="D658" i="16"/>
  <c r="C658" i="16"/>
  <c r="B658" i="16"/>
  <c r="I657" i="16"/>
  <c r="G657" i="16"/>
  <c r="F657" i="16"/>
  <c r="D657" i="16"/>
  <c r="C657" i="16"/>
  <c r="B657" i="16"/>
  <c r="I656" i="16"/>
  <c r="G656" i="16"/>
  <c r="F656" i="16"/>
  <c r="D656" i="16"/>
  <c r="C656" i="16"/>
  <c r="B656" i="16"/>
  <c r="I655" i="16"/>
  <c r="G655" i="16"/>
  <c r="F655" i="16"/>
  <c r="D655" i="16"/>
  <c r="C655" i="16"/>
  <c r="B655" i="16"/>
  <c r="G654" i="16"/>
  <c r="F654" i="16"/>
  <c r="D654" i="16"/>
  <c r="C654" i="16"/>
  <c r="B654" i="16"/>
  <c r="G653" i="16"/>
  <c r="F653" i="16"/>
  <c r="D653" i="16"/>
  <c r="C653" i="16"/>
  <c r="B653" i="16"/>
  <c r="G652" i="16"/>
  <c r="F652" i="16"/>
  <c r="D652" i="16"/>
  <c r="C652" i="16"/>
  <c r="B652" i="16"/>
  <c r="G651" i="16"/>
  <c r="F651" i="16"/>
  <c r="D651" i="16"/>
  <c r="C651" i="16"/>
  <c r="B651" i="16"/>
  <c r="G650" i="16"/>
  <c r="F650" i="16"/>
  <c r="D650" i="16"/>
  <c r="C650" i="16"/>
  <c r="B650" i="16"/>
  <c r="G649" i="16"/>
  <c r="F649" i="16"/>
  <c r="D649" i="16"/>
  <c r="C649" i="16"/>
  <c r="B649" i="16"/>
  <c r="I648" i="16"/>
  <c r="G648" i="16"/>
  <c r="F648" i="16"/>
  <c r="D648" i="16"/>
  <c r="C648" i="16"/>
  <c r="B648" i="16"/>
  <c r="I647" i="16"/>
  <c r="G647" i="16"/>
  <c r="F647" i="16"/>
  <c r="D647" i="16"/>
  <c r="C647" i="16"/>
  <c r="B647" i="16"/>
  <c r="I646" i="16"/>
  <c r="G646" i="16"/>
  <c r="F646" i="16"/>
  <c r="D646" i="16"/>
  <c r="C646" i="16"/>
  <c r="B646" i="16"/>
  <c r="I645" i="16"/>
  <c r="G645" i="16"/>
  <c r="F645" i="16"/>
  <c r="D645" i="16"/>
  <c r="C645" i="16"/>
  <c r="B645" i="16"/>
  <c r="I644" i="16"/>
  <c r="G644" i="16"/>
  <c r="F644" i="16"/>
  <c r="D644" i="16"/>
  <c r="C644" i="16"/>
  <c r="B644" i="16"/>
  <c r="I643" i="16"/>
  <c r="G643" i="16"/>
  <c r="F643" i="16"/>
  <c r="D643" i="16"/>
  <c r="C643" i="16"/>
  <c r="B643" i="16"/>
  <c r="I642" i="16"/>
  <c r="G642" i="16"/>
  <c r="F642" i="16"/>
  <c r="D642" i="16"/>
  <c r="C642" i="16"/>
  <c r="B642" i="16"/>
  <c r="I641" i="16"/>
  <c r="G641" i="16"/>
  <c r="F641" i="16"/>
  <c r="D641" i="16"/>
  <c r="C641" i="16"/>
  <c r="B641" i="16"/>
  <c r="I640" i="16"/>
  <c r="G640" i="16"/>
  <c r="F640" i="16"/>
  <c r="D640" i="16"/>
  <c r="C640" i="16"/>
  <c r="B640" i="16"/>
  <c r="I639" i="16"/>
  <c r="G639" i="16"/>
  <c r="F639" i="16"/>
  <c r="D639" i="16"/>
  <c r="C639" i="16"/>
  <c r="B639" i="16"/>
  <c r="I638" i="16"/>
  <c r="G638" i="16"/>
  <c r="F638" i="16"/>
  <c r="D638" i="16"/>
  <c r="C638" i="16"/>
  <c r="B638" i="16"/>
  <c r="I637" i="16"/>
  <c r="G637" i="16"/>
  <c r="F637" i="16"/>
  <c r="D637" i="16"/>
  <c r="C637" i="16"/>
  <c r="B637" i="16"/>
  <c r="I636" i="16"/>
  <c r="G636" i="16"/>
  <c r="F636" i="16"/>
  <c r="D636" i="16"/>
  <c r="C636" i="16"/>
  <c r="B636" i="16"/>
  <c r="I635" i="16"/>
  <c r="G635" i="16"/>
  <c r="F635" i="16"/>
  <c r="D635" i="16"/>
  <c r="C635" i="16"/>
  <c r="B635" i="16"/>
  <c r="I634" i="16"/>
  <c r="G634" i="16"/>
  <c r="F634" i="16"/>
  <c r="D634" i="16"/>
  <c r="C634" i="16"/>
  <c r="B634" i="16"/>
  <c r="I633" i="16"/>
  <c r="G633" i="16"/>
  <c r="F633" i="16"/>
  <c r="D633" i="16"/>
  <c r="C633" i="16"/>
  <c r="B633" i="16"/>
  <c r="I632" i="16"/>
  <c r="G632" i="16"/>
  <c r="F632" i="16"/>
  <c r="D632" i="16"/>
  <c r="C632" i="16"/>
  <c r="B632" i="16"/>
  <c r="I631" i="16"/>
  <c r="G631" i="16"/>
  <c r="F631" i="16"/>
  <c r="D631" i="16"/>
  <c r="C631" i="16"/>
  <c r="B631" i="16"/>
  <c r="I630" i="16"/>
  <c r="G630" i="16"/>
  <c r="F630" i="16"/>
  <c r="D630" i="16"/>
  <c r="C630" i="16"/>
  <c r="B630" i="16"/>
  <c r="I629" i="16"/>
  <c r="G629" i="16"/>
  <c r="F629" i="16"/>
  <c r="D629" i="16"/>
  <c r="C629" i="16"/>
  <c r="B629" i="16"/>
  <c r="I628" i="16"/>
  <c r="G628" i="16"/>
  <c r="F628" i="16"/>
  <c r="D628" i="16"/>
  <c r="C628" i="16"/>
  <c r="B628" i="16"/>
  <c r="I627" i="16"/>
  <c r="G627" i="16"/>
  <c r="F627" i="16"/>
  <c r="D627" i="16"/>
  <c r="C627" i="16"/>
  <c r="B627" i="16"/>
  <c r="I626" i="16"/>
  <c r="G626" i="16"/>
  <c r="F626" i="16"/>
  <c r="D626" i="16"/>
  <c r="C626" i="16"/>
  <c r="B626" i="16"/>
  <c r="I625" i="16"/>
  <c r="G625" i="16"/>
  <c r="F625" i="16"/>
  <c r="D625" i="16"/>
  <c r="C625" i="16"/>
  <c r="B625" i="16"/>
  <c r="I624" i="16"/>
  <c r="G624" i="16"/>
  <c r="F624" i="16"/>
  <c r="D624" i="16"/>
  <c r="C624" i="16"/>
  <c r="B624" i="16"/>
  <c r="I623" i="16"/>
  <c r="G623" i="16"/>
  <c r="F623" i="16"/>
  <c r="D623" i="16"/>
  <c r="C623" i="16"/>
  <c r="B623" i="16"/>
  <c r="I622" i="16"/>
  <c r="G622" i="16"/>
  <c r="F622" i="16"/>
  <c r="D622" i="16"/>
  <c r="C622" i="16"/>
  <c r="B622" i="16"/>
  <c r="I621" i="16"/>
  <c r="G621" i="16"/>
  <c r="F621" i="16"/>
  <c r="D621" i="16"/>
  <c r="C621" i="16"/>
  <c r="B621" i="16"/>
  <c r="I620" i="16"/>
  <c r="G620" i="16"/>
  <c r="F620" i="16"/>
  <c r="D620" i="16"/>
  <c r="C620" i="16"/>
  <c r="B620" i="16"/>
  <c r="I619" i="16"/>
  <c r="G619" i="16"/>
  <c r="F619" i="16"/>
  <c r="D619" i="16"/>
  <c r="C619" i="16"/>
  <c r="B619" i="16"/>
  <c r="I618" i="16"/>
  <c r="G618" i="16"/>
  <c r="F618" i="16"/>
  <c r="D618" i="16"/>
  <c r="C618" i="16"/>
  <c r="B618" i="16"/>
  <c r="I617" i="16"/>
  <c r="G617" i="16"/>
  <c r="F617" i="16"/>
  <c r="D617" i="16"/>
  <c r="C617" i="16"/>
  <c r="B617" i="16"/>
  <c r="I616" i="16"/>
  <c r="G616" i="16"/>
  <c r="F616" i="16"/>
  <c r="D616" i="16"/>
  <c r="C616" i="16"/>
  <c r="B616" i="16"/>
  <c r="I615" i="16"/>
  <c r="G615" i="16"/>
  <c r="F615" i="16"/>
  <c r="D615" i="16"/>
  <c r="C615" i="16"/>
  <c r="B615" i="16"/>
  <c r="I614" i="16"/>
  <c r="G614" i="16"/>
  <c r="F614" i="16"/>
  <c r="D614" i="16"/>
  <c r="C614" i="16"/>
  <c r="B614" i="16"/>
  <c r="I613" i="16"/>
  <c r="G613" i="16"/>
  <c r="F613" i="16"/>
  <c r="D613" i="16"/>
  <c r="C613" i="16"/>
  <c r="B613" i="16"/>
  <c r="I612" i="16"/>
  <c r="G612" i="16"/>
  <c r="F612" i="16"/>
  <c r="D612" i="16"/>
  <c r="C612" i="16"/>
  <c r="B612" i="16"/>
  <c r="I611" i="16"/>
  <c r="G611" i="16"/>
  <c r="F611" i="16"/>
  <c r="D611" i="16"/>
  <c r="C611" i="16"/>
  <c r="B611" i="16"/>
  <c r="I610" i="16"/>
  <c r="G610" i="16"/>
  <c r="F610" i="16"/>
  <c r="D610" i="16"/>
  <c r="C610" i="16"/>
  <c r="B610" i="16"/>
  <c r="I609" i="16"/>
  <c r="G609" i="16"/>
  <c r="F609" i="16"/>
  <c r="D609" i="16"/>
  <c r="C609" i="16"/>
  <c r="B609" i="16"/>
  <c r="I608" i="16"/>
  <c r="G608" i="16"/>
  <c r="F608" i="16"/>
  <c r="D608" i="16"/>
  <c r="C608" i="16"/>
  <c r="B608" i="16"/>
  <c r="I607" i="16"/>
  <c r="G607" i="16"/>
  <c r="F607" i="16"/>
  <c r="D607" i="16"/>
  <c r="C607" i="16"/>
  <c r="B607" i="16"/>
  <c r="I606" i="16"/>
  <c r="G606" i="16"/>
  <c r="F606" i="16"/>
  <c r="D606" i="16"/>
  <c r="C606" i="16"/>
  <c r="B606" i="16"/>
  <c r="I605" i="16"/>
  <c r="G605" i="16"/>
  <c r="F605" i="16"/>
  <c r="D605" i="16"/>
  <c r="C605" i="16"/>
  <c r="B605" i="16"/>
  <c r="I604" i="16"/>
  <c r="G604" i="16"/>
  <c r="F604" i="16"/>
  <c r="D604" i="16"/>
  <c r="C604" i="16"/>
  <c r="B604" i="16"/>
  <c r="I603" i="16"/>
  <c r="G603" i="16"/>
  <c r="F603" i="16"/>
  <c r="D603" i="16"/>
  <c r="C603" i="16"/>
  <c r="B603" i="16"/>
  <c r="I602" i="16"/>
  <c r="G602" i="16"/>
  <c r="F602" i="16"/>
  <c r="D602" i="16"/>
  <c r="C602" i="16"/>
  <c r="B602" i="16"/>
  <c r="I601" i="16"/>
  <c r="G601" i="16"/>
  <c r="F601" i="16"/>
  <c r="D601" i="16"/>
  <c r="C601" i="16"/>
  <c r="B601" i="16"/>
  <c r="I600" i="16"/>
  <c r="G600" i="16"/>
  <c r="F600" i="16"/>
  <c r="D600" i="16"/>
  <c r="C600" i="16"/>
  <c r="B600" i="16"/>
  <c r="I599" i="16"/>
  <c r="G599" i="16"/>
  <c r="F599" i="16"/>
  <c r="D599" i="16"/>
  <c r="C599" i="16"/>
  <c r="B599" i="16"/>
  <c r="I598" i="16"/>
  <c r="G598" i="16"/>
  <c r="F598" i="16"/>
  <c r="D598" i="16"/>
  <c r="C598" i="16"/>
  <c r="B598" i="16"/>
  <c r="I597" i="16"/>
  <c r="G597" i="16"/>
  <c r="F597" i="16"/>
  <c r="D597" i="16"/>
  <c r="C597" i="16"/>
  <c r="B597" i="16"/>
  <c r="I596" i="16"/>
  <c r="G596" i="16"/>
  <c r="F596" i="16"/>
  <c r="D596" i="16"/>
  <c r="C596" i="16"/>
  <c r="B596" i="16"/>
  <c r="I595" i="16"/>
  <c r="G595" i="16"/>
  <c r="F595" i="16"/>
  <c r="D595" i="16"/>
  <c r="C595" i="16"/>
  <c r="B595" i="16"/>
  <c r="I594" i="16"/>
  <c r="G594" i="16"/>
  <c r="F594" i="16"/>
  <c r="D594" i="16"/>
  <c r="C594" i="16"/>
  <c r="B594" i="16"/>
  <c r="I593" i="16"/>
  <c r="G593" i="16"/>
  <c r="F593" i="16"/>
  <c r="D593" i="16"/>
  <c r="C593" i="16"/>
  <c r="B593" i="16"/>
  <c r="I592" i="16"/>
  <c r="G592" i="16"/>
  <c r="F592" i="16"/>
  <c r="D592" i="16"/>
  <c r="C592" i="16"/>
  <c r="B592" i="16"/>
  <c r="I591" i="16"/>
  <c r="G591" i="16"/>
  <c r="F591" i="16"/>
  <c r="D591" i="16"/>
  <c r="C591" i="16"/>
  <c r="B591" i="16"/>
  <c r="I590" i="16"/>
  <c r="G590" i="16"/>
  <c r="F590" i="16"/>
  <c r="D590" i="16"/>
  <c r="C590" i="16"/>
  <c r="B590" i="16"/>
  <c r="I589" i="16"/>
  <c r="G589" i="16"/>
  <c r="F589" i="16"/>
  <c r="D589" i="16"/>
  <c r="C589" i="16"/>
  <c r="B589" i="16"/>
  <c r="I588" i="16"/>
  <c r="G588" i="16"/>
  <c r="F588" i="16"/>
  <c r="D588" i="16"/>
  <c r="C588" i="16"/>
  <c r="B588" i="16"/>
  <c r="I587" i="16"/>
  <c r="G587" i="16"/>
  <c r="F587" i="16"/>
  <c r="D587" i="16"/>
  <c r="C587" i="16"/>
  <c r="B587" i="16"/>
  <c r="I586" i="16"/>
  <c r="G586" i="16"/>
  <c r="F586" i="16"/>
  <c r="D586" i="16"/>
  <c r="C586" i="16"/>
  <c r="B586" i="16"/>
  <c r="I585" i="16"/>
  <c r="G585" i="16"/>
  <c r="F585" i="16"/>
  <c r="D585" i="16"/>
  <c r="C585" i="16"/>
  <c r="B585" i="16"/>
  <c r="I584" i="16"/>
  <c r="G584" i="16"/>
  <c r="F584" i="16"/>
  <c r="D584" i="16"/>
  <c r="C584" i="16"/>
  <c r="B584" i="16"/>
  <c r="I583" i="16"/>
  <c r="G583" i="16"/>
  <c r="F583" i="16"/>
  <c r="D583" i="16"/>
  <c r="C583" i="16"/>
  <c r="B583" i="16"/>
  <c r="I582" i="16"/>
  <c r="G582" i="16"/>
  <c r="F582" i="16"/>
  <c r="D582" i="16"/>
  <c r="C582" i="16"/>
  <c r="B582" i="16"/>
  <c r="I581" i="16"/>
  <c r="G581" i="16"/>
  <c r="F581" i="16"/>
  <c r="D581" i="16"/>
  <c r="C581" i="16"/>
  <c r="B581" i="16"/>
  <c r="I580" i="16"/>
  <c r="G580" i="16"/>
  <c r="F580" i="16"/>
  <c r="D580" i="16"/>
  <c r="C580" i="16"/>
  <c r="B580" i="16"/>
  <c r="I579" i="16"/>
  <c r="G579" i="16"/>
  <c r="F579" i="16"/>
  <c r="D579" i="16"/>
  <c r="C579" i="16"/>
  <c r="B579" i="16"/>
  <c r="I578" i="16"/>
  <c r="G578" i="16"/>
  <c r="F578" i="16"/>
  <c r="D578" i="16"/>
  <c r="C578" i="16"/>
  <c r="B578" i="16"/>
  <c r="I577" i="16"/>
  <c r="G577" i="16"/>
  <c r="F577" i="16"/>
  <c r="D577" i="16"/>
  <c r="C577" i="16"/>
  <c r="B577" i="16"/>
  <c r="I576" i="16"/>
  <c r="G576" i="16"/>
  <c r="F576" i="16"/>
  <c r="D576" i="16"/>
  <c r="C576" i="16"/>
  <c r="B576" i="16"/>
  <c r="I575" i="16"/>
  <c r="G575" i="16"/>
  <c r="F575" i="16"/>
  <c r="D575" i="16"/>
  <c r="C575" i="16"/>
  <c r="B575" i="16"/>
  <c r="I574" i="16"/>
  <c r="G574" i="16"/>
  <c r="F574" i="16"/>
  <c r="D574" i="16"/>
  <c r="C574" i="16"/>
  <c r="B574" i="16"/>
  <c r="I573" i="16"/>
  <c r="G573" i="16"/>
  <c r="F573" i="16"/>
  <c r="D573" i="16"/>
  <c r="C573" i="16"/>
  <c r="B573" i="16"/>
  <c r="I572" i="16"/>
  <c r="G572" i="16"/>
  <c r="F572" i="16"/>
  <c r="D572" i="16"/>
  <c r="C572" i="16"/>
  <c r="B572" i="16"/>
  <c r="I571" i="16"/>
  <c r="G571" i="16"/>
  <c r="F571" i="16"/>
  <c r="D571" i="16"/>
  <c r="C571" i="16"/>
  <c r="B571" i="16"/>
  <c r="I570" i="16"/>
  <c r="G570" i="16"/>
  <c r="F570" i="16"/>
  <c r="D570" i="16"/>
  <c r="C570" i="16"/>
  <c r="B570" i="16"/>
  <c r="I569" i="16"/>
  <c r="G569" i="16"/>
  <c r="F569" i="16"/>
  <c r="D569" i="16"/>
  <c r="C569" i="16"/>
  <c r="B569" i="16"/>
  <c r="I568" i="16"/>
  <c r="G568" i="16"/>
  <c r="F568" i="16"/>
  <c r="D568" i="16"/>
  <c r="C568" i="16"/>
  <c r="B568" i="16"/>
  <c r="I567" i="16"/>
  <c r="G567" i="16"/>
  <c r="F567" i="16"/>
  <c r="D567" i="16"/>
  <c r="C567" i="16"/>
  <c r="B567" i="16"/>
  <c r="I566" i="16"/>
  <c r="G566" i="16"/>
  <c r="F566" i="16"/>
  <c r="D566" i="16"/>
  <c r="C566" i="16"/>
  <c r="B566" i="16"/>
  <c r="I565" i="16"/>
  <c r="G565" i="16"/>
  <c r="F565" i="16"/>
  <c r="D565" i="16"/>
  <c r="C565" i="16"/>
  <c r="B565" i="16"/>
  <c r="I564" i="16"/>
  <c r="G564" i="16"/>
  <c r="F564" i="16"/>
  <c r="D564" i="16"/>
  <c r="C564" i="16"/>
  <c r="B564" i="16"/>
  <c r="I563" i="16"/>
  <c r="G563" i="16"/>
  <c r="F563" i="16"/>
  <c r="D563" i="16"/>
  <c r="C563" i="16"/>
  <c r="B563" i="16"/>
  <c r="I562" i="16"/>
  <c r="G562" i="16"/>
  <c r="F562" i="16"/>
  <c r="D562" i="16"/>
  <c r="C562" i="16"/>
  <c r="B562" i="16"/>
  <c r="I561" i="16"/>
  <c r="G561" i="16"/>
  <c r="F561" i="16"/>
  <c r="D561" i="16"/>
  <c r="C561" i="16"/>
  <c r="B561" i="16"/>
  <c r="I560" i="16"/>
  <c r="G560" i="16"/>
  <c r="F560" i="16"/>
  <c r="D560" i="16"/>
  <c r="C560" i="16"/>
  <c r="B560" i="16"/>
  <c r="I559" i="16"/>
  <c r="G559" i="16"/>
  <c r="F559" i="16"/>
  <c r="D559" i="16"/>
  <c r="C559" i="16"/>
  <c r="B559" i="16"/>
  <c r="I558" i="16"/>
  <c r="G558" i="16"/>
  <c r="F558" i="16"/>
  <c r="D558" i="16"/>
  <c r="C558" i="16"/>
  <c r="B558" i="16"/>
  <c r="I557" i="16"/>
  <c r="G557" i="16"/>
  <c r="F557" i="16"/>
  <c r="D557" i="16"/>
  <c r="C557" i="16"/>
  <c r="B557" i="16"/>
  <c r="I556" i="16"/>
  <c r="G556" i="16"/>
  <c r="F556" i="16"/>
  <c r="D556" i="16"/>
  <c r="C556" i="16"/>
  <c r="B556" i="16"/>
  <c r="I555" i="16"/>
  <c r="G555" i="16"/>
  <c r="F555" i="16"/>
  <c r="D555" i="16"/>
  <c r="C555" i="16"/>
  <c r="B555" i="16"/>
  <c r="I554" i="16"/>
  <c r="G554" i="16"/>
  <c r="F554" i="16"/>
  <c r="D554" i="16"/>
  <c r="C554" i="16"/>
  <c r="B554" i="16"/>
  <c r="I553" i="16"/>
  <c r="G553" i="16"/>
  <c r="F553" i="16"/>
  <c r="D553" i="16"/>
  <c r="C553" i="16"/>
  <c r="B553" i="16"/>
  <c r="I552" i="16"/>
  <c r="G552" i="16"/>
  <c r="F552" i="16"/>
  <c r="D552" i="16"/>
  <c r="C552" i="16"/>
  <c r="B552" i="16"/>
  <c r="I551" i="16"/>
  <c r="G551" i="16"/>
  <c r="F551" i="16"/>
  <c r="D551" i="16"/>
  <c r="C551" i="16"/>
  <c r="B551" i="16"/>
  <c r="I550" i="16"/>
  <c r="G550" i="16"/>
  <c r="F550" i="16"/>
  <c r="D550" i="16"/>
  <c r="C550" i="16"/>
  <c r="B550" i="16"/>
  <c r="I549" i="16"/>
  <c r="G549" i="16"/>
  <c r="F549" i="16"/>
  <c r="D549" i="16"/>
  <c r="C549" i="16"/>
  <c r="B549" i="16"/>
  <c r="I548" i="16"/>
  <c r="G548" i="16"/>
  <c r="F548" i="16"/>
  <c r="D548" i="16"/>
  <c r="C548" i="16"/>
  <c r="B548" i="16"/>
  <c r="I547" i="16"/>
  <c r="G547" i="16"/>
  <c r="F547" i="16"/>
  <c r="D547" i="16"/>
  <c r="C547" i="16"/>
  <c r="B547" i="16"/>
  <c r="I546" i="16"/>
  <c r="G546" i="16"/>
  <c r="F546" i="16"/>
  <c r="D546" i="16"/>
  <c r="C546" i="16"/>
  <c r="B546" i="16"/>
  <c r="I545" i="16"/>
  <c r="G545" i="16"/>
  <c r="F545" i="16"/>
  <c r="D545" i="16"/>
  <c r="C545" i="16"/>
  <c r="B545" i="16"/>
  <c r="I544" i="16"/>
  <c r="G544" i="16"/>
  <c r="F544" i="16"/>
  <c r="D544" i="16"/>
  <c r="C544" i="16"/>
  <c r="B544" i="16"/>
  <c r="I543" i="16"/>
  <c r="G543" i="16"/>
  <c r="F543" i="16"/>
  <c r="D543" i="16"/>
  <c r="C543" i="16"/>
  <c r="B543" i="16"/>
  <c r="I542" i="16"/>
  <c r="G542" i="16"/>
  <c r="F542" i="16"/>
  <c r="D542" i="16"/>
  <c r="C542" i="16"/>
  <c r="B542" i="16"/>
  <c r="I541" i="16"/>
  <c r="G541" i="16"/>
  <c r="F541" i="16"/>
  <c r="D541" i="16"/>
  <c r="C541" i="16"/>
  <c r="B541" i="16"/>
  <c r="I540" i="16"/>
  <c r="G540" i="16"/>
  <c r="F540" i="16"/>
  <c r="D540" i="16"/>
  <c r="C540" i="16"/>
  <c r="B540" i="16"/>
  <c r="I539" i="16"/>
  <c r="G539" i="16"/>
  <c r="F539" i="16"/>
  <c r="D539" i="16"/>
  <c r="C539" i="16"/>
  <c r="B539" i="16"/>
  <c r="I538" i="16"/>
  <c r="G538" i="16"/>
  <c r="F538" i="16"/>
  <c r="D538" i="16"/>
  <c r="C538" i="16"/>
  <c r="B538" i="16"/>
  <c r="I537" i="16"/>
  <c r="G537" i="16"/>
  <c r="F537" i="16"/>
  <c r="D537" i="16"/>
  <c r="C537" i="16"/>
  <c r="B537" i="16"/>
  <c r="I536" i="16"/>
  <c r="G536" i="16"/>
  <c r="F536" i="16"/>
  <c r="D536" i="16"/>
  <c r="C536" i="16"/>
  <c r="B536" i="16"/>
  <c r="I535" i="16"/>
  <c r="G535" i="16"/>
  <c r="F535" i="16"/>
  <c r="D535" i="16"/>
  <c r="C535" i="16"/>
  <c r="B535" i="16"/>
  <c r="I534" i="16"/>
  <c r="G534" i="16"/>
  <c r="F534" i="16"/>
  <c r="D534" i="16"/>
  <c r="C534" i="16"/>
  <c r="B534" i="16"/>
  <c r="I533" i="16"/>
  <c r="G533" i="16"/>
  <c r="F533" i="16"/>
  <c r="D533" i="16"/>
  <c r="C533" i="16"/>
  <c r="B533" i="16"/>
  <c r="I532" i="16"/>
  <c r="G532" i="16"/>
  <c r="F532" i="16"/>
  <c r="D532" i="16"/>
  <c r="C532" i="16"/>
  <c r="B532" i="16"/>
  <c r="I531" i="16"/>
  <c r="G531" i="16"/>
  <c r="F531" i="16"/>
  <c r="D531" i="16"/>
  <c r="C531" i="16"/>
  <c r="B531" i="16"/>
  <c r="I530" i="16"/>
  <c r="G530" i="16"/>
  <c r="F530" i="16"/>
  <c r="D530" i="16"/>
  <c r="C530" i="16"/>
  <c r="B530" i="16"/>
  <c r="I529" i="16"/>
  <c r="G529" i="16"/>
  <c r="F529" i="16"/>
  <c r="D529" i="16"/>
  <c r="C529" i="16"/>
  <c r="B529" i="16"/>
  <c r="I528" i="16"/>
  <c r="G528" i="16"/>
  <c r="F528" i="16"/>
  <c r="D528" i="16"/>
  <c r="C528" i="16"/>
  <c r="B528" i="16"/>
  <c r="I527" i="16"/>
  <c r="G527" i="16"/>
  <c r="F527" i="16"/>
  <c r="D527" i="16"/>
  <c r="C527" i="16"/>
  <c r="B527" i="16"/>
  <c r="I526" i="16"/>
  <c r="G526" i="16"/>
  <c r="F526" i="16"/>
  <c r="D526" i="16"/>
  <c r="C526" i="16"/>
  <c r="B526" i="16"/>
  <c r="I525" i="16"/>
  <c r="G525" i="16"/>
  <c r="F525" i="16"/>
  <c r="D525" i="16"/>
  <c r="C525" i="16"/>
  <c r="B525" i="16"/>
  <c r="I524" i="16"/>
  <c r="G524" i="16"/>
  <c r="F524" i="16"/>
  <c r="D524" i="16"/>
  <c r="C524" i="16"/>
  <c r="B524" i="16"/>
  <c r="I523" i="16"/>
  <c r="G523" i="16"/>
  <c r="F523" i="16"/>
  <c r="D523" i="16"/>
  <c r="C523" i="16"/>
  <c r="B523" i="16"/>
  <c r="I522" i="16"/>
  <c r="G522" i="16"/>
  <c r="F522" i="16"/>
  <c r="D522" i="16"/>
  <c r="C522" i="16"/>
  <c r="B522" i="16"/>
  <c r="I521" i="16"/>
  <c r="G521" i="16"/>
  <c r="F521" i="16"/>
  <c r="D521" i="16"/>
  <c r="C521" i="16"/>
  <c r="B521" i="16"/>
  <c r="I520" i="16"/>
  <c r="G520" i="16"/>
  <c r="F520" i="16"/>
  <c r="D520" i="16"/>
  <c r="C520" i="16"/>
  <c r="B520" i="16"/>
  <c r="I519" i="16"/>
  <c r="G519" i="16"/>
  <c r="F519" i="16"/>
  <c r="D519" i="16"/>
  <c r="C519" i="16"/>
  <c r="B519" i="16"/>
  <c r="I518" i="16"/>
  <c r="G518" i="16"/>
  <c r="F518" i="16"/>
  <c r="D518" i="16"/>
  <c r="C518" i="16"/>
  <c r="B518" i="16"/>
  <c r="I517" i="16"/>
  <c r="G517" i="16"/>
  <c r="F517" i="16"/>
  <c r="D517" i="16"/>
  <c r="C517" i="16"/>
  <c r="B517" i="16"/>
  <c r="I516" i="16"/>
  <c r="G516" i="16"/>
  <c r="F516" i="16"/>
  <c r="D516" i="16"/>
  <c r="C516" i="16"/>
  <c r="B516" i="16"/>
  <c r="I515" i="16"/>
  <c r="G515" i="16"/>
  <c r="F515" i="16"/>
  <c r="D515" i="16"/>
  <c r="C515" i="16"/>
  <c r="B515" i="16"/>
  <c r="I514" i="16"/>
  <c r="G514" i="16"/>
  <c r="F514" i="16"/>
  <c r="D514" i="16"/>
  <c r="C514" i="16"/>
  <c r="B514" i="16"/>
  <c r="I513" i="16"/>
  <c r="G513" i="16"/>
  <c r="F513" i="16"/>
  <c r="D513" i="16"/>
  <c r="C513" i="16"/>
  <c r="B513" i="16"/>
  <c r="I512" i="16"/>
  <c r="G512" i="16"/>
  <c r="F512" i="16"/>
  <c r="D512" i="16"/>
  <c r="C512" i="16"/>
  <c r="B512" i="16"/>
  <c r="I511" i="16"/>
  <c r="G511" i="16"/>
  <c r="F511" i="16"/>
  <c r="D511" i="16"/>
  <c r="C511" i="16"/>
  <c r="B511" i="16"/>
  <c r="I510" i="16"/>
  <c r="G510" i="16"/>
  <c r="F510" i="16"/>
  <c r="D510" i="16"/>
  <c r="C510" i="16"/>
  <c r="B510" i="16"/>
  <c r="I509" i="16"/>
  <c r="G509" i="16"/>
  <c r="F509" i="16"/>
  <c r="D509" i="16"/>
  <c r="C509" i="16"/>
  <c r="B509" i="16"/>
  <c r="I508" i="16"/>
  <c r="G508" i="16"/>
  <c r="F508" i="16"/>
  <c r="D508" i="16"/>
  <c r="C508" i="16"/>
  <c r="B508" i="16"/>
  <c r="I507" i="16"/>
  <c r="G507" i="16"/>
  <c r="F507" i="16"/>
  <c r="D507" i="16"/>
  <c r="C507" i="16"/>
  <c r="B507" i="16"/>
  <c r="I506" i="16"/>
  <c r="G506" i="16"/>
  <c r="F506" i="16"/>
  <c r="D506" i="16"/>
  <c r="C506" i="16"/>
  <c r="B506" i="16"/>
  <c r="I505" i="16"/>
  <c r="G505" i="16"/>
  <c r="F505" i="16"/>
  <c r="D505" i="16"/>
  <c r="C505" i="16"/>
  <c r="B505" i="16"/>
  <c r="I504" i="16"/>
  <c r="G504" i="16"/>
  <c r="F504" i="16"/>
  <c r="D504" i="16"/>
  <c r="C504" i="16"/>
  <c r="B504" i="16"/>
  <c r="I503" i="16"/>
  <c r="G503" i="16"/>
  <c r="F503" i="16"/>
  <c r="D503" i="16"/>
  <c r="C503" i="16"/>
  <c r="B503" i="16"/>
  <c r="I502" i="16"/>
  <c r="G502" i="16"/>
  <c r="F502" i="16"/>
  <c r="D502" i="16"/>
  <c r="C502" i="16"/>
  <c r="B502" i="16"/>
  <c r="I501" i="16"/>
  <c r="G501" i="16"/>
  <c r="F501" i="16"/>
  <c r="D501" i="16"/>
  <c r="C501" i="16"/>
  <c r="B501" i="16"/>
  <c r="I500" i="16"/>
  <c r="G500" i="16"/>
  <c r="F500" i="16"/>
  <c r="D500" i="16"/>
  <c r="C500" i="16"/>
  <c r="B500" i="16"/>
  <c r="I499" i="16"/>
  <c r="G499" i="16"/>
  <c r="F499" i="16"/>
  <c r="D499" i="16"/>
  <c r="C499" i="16"/>
  <c r="B499" i="16"/>
  <c r="I498" i="16"/>
  <c r="G498" i="16"/>
  <c r="F498" i="16"/>
  <c r="D498" i="16"/>
  <c r="C498" i="16"/>
  <c r="B498" i="16"/>
  <c r="I497" i="16"/>
  <c r="G497" i="16"/>
  <c r="F497" i="16"/>
  <c r="D497" i="16"/>
  <c r="C497" i="16"/>
  <c r="B497" i="16"/>
  <c r="I496" i="16"/>
  <c r="G496" i="16"/>
  <c r="F496" i="16"/>
  <c r="D496" i="16"/>
  <c r="C496" i="16"/>
  <c r="B496" i="16"/>
  <c r="I495" i="16"/>
  <c r="G495" i="16"/>
  <c r="F495" i="16"/>
  <c r="D495" i="16"/>
  <c r="C495" i="16"/>
  <c r="B495" i="16"/>
  <c r="I494" i="16"/>
  <c r="G494" i="16"/>
  <c r="F494" i="16"/>
  <c r="D494" i="16"/>
  <c r="C494" i="16"/>
  <c r="B494" i="16"/>
  <c r="I493" i="16"/>
  <c r="G493" i="16"/>
  <c r="F493" i="16"/>
  <c r="D493" i="16"/>
  <c r="C493" i="16"/>
  <c r="B493" i="16"/>
  <c r="I492" i="16"/>
  <c r="G492" i="16"/>
  <c r="F492" i="16"/>
  <c r="D492" i="16"/>
  <c r="C492" i="16"/>
  <c r="B492" i="16"/>
  <c r="I491" i="16"/>
  <c r="G491" i="16"/>
  <c r="F491" i="16"/>
  <c r="D491" i="16"/>
  <c r="C491" i="16"/>
  <c r="B491" i="16"/>
  <c r="I490" i="16"/>
  <c r="G490" i="16"/>
  <c r="F490" i="16"/>
  <c r="D490" i="16"/>
  <c r="C490" i="16"/>
  <c r="B490" i="16"/>
  <c r="I489" i="16"/>
  <c r="G489" i="16"/>
  <c r="F489" i="16"/>
  <c r="D489" i="16"/>
  <c r="C489" i="16"/>
  <c r="B489" i="16"/>
  <c r="I488" i="16"/>
  <c r="G488" i="16"/>
  <c r="F488" i="16"/>
  <c r="D488" i="16"/>
  <c r="C488" i="16"/>
  <c r="B488" i="16"/>
  <c r="I487" i="16"/>
  <c r="G487" i="16"/>
  <c r="F487" i="16"/>
  <c r="D487" i="16"/>
  <c r="C487" i="16"/>
  <c r="B487" i="16"/>
  <c r="I486" i="16"/>
  <c r="G486" i="16"/>
  <c r="F486" i="16"/>
  <c r="D486" i="16"/>
  <c r="C486" i="16"/>
  <c r="B486" i="16"/>
  <c r="I485" i="16"/>
  <c r="G485" i="16"/>
  <c r="F485" i="16"/>
  <c r="D485" i="16"/>
  <c r="C485" i="16"/>
  <c r="B485" i="16"/>
  <c r="I484" i="16"/>
  <c r="G484" i="16"/>
  <c r="F484" i="16"/>
  <c r="D484" i="16"/>
  <c r="C484" i="16"/>
  <c r="B484" i="16"/>
  <c r="I483" i="16"/>
  <c r="G483" i="16"/>
  <c r="F483" i="16"/>
  <c r="D483" i="16"/>
  <c r="C483" i="16"/>
  <c r="B483" i="16"/>
  <c r="I482" i="16"/>
  <c r="G482" i="16"/>
  <c r="F482" i="16"/>
  <c r="D482" i="16"/>
  <c r="C482" i="16"/>
  <c r="B482" i="16"/>
  <c r="I481" i="16"/>
  <c r="G481" i="16"/>
  <c r="F481" i="16"/>
  <c r="D481" i="16"/>
  <c r="C481" i="16"/>
  <c r="B481" i="16"/>
  <c r="I480" i="16"/>
  <c r="G480" i="16"/>
  <c r="F480" i="16"/>
  <c r="D480" i="16"/>
  <c r="C480" i="16"/>
  <c r="B480" i="16"/>
  <c r="I479" i="16"/>
  <c r="G479" i="16"/>
  <c r="F479" i="16"/>
  <c r="D479" i="16"/>
  <c r="C479" i="16"/>
  <c r="B479" i="16"/>
  <c r="I478" i="16"/>
  <c r="G478" i="16"/>
  <c r="F478" i="16"/>
  <c r="D478" i="16"/>
  <c r="C478" i="16"/>
  <c r="B478" i="16"/>
  <c r="I477" i="16"/>
  <c r="G477" i="16"/>
  <c r="F477" i="16"/>
  <c r="D477" i="16"/>
  <c r="C477" i="16"/>
  <c r="B477" i="16"/>
  <c r="I476" i="16"/>
  <c r="G476" i="16"/>
  <c r="F476" i="16"/>
  <c r="D476" i="16"/>
  <c r="C476" i="16"/>
  <c r="B476" i="16"/>
  <c r="I475" i="16"/>
  <c r="G475" i="16"/>
  <c r="F475" i="16"/>
  <c r="D475" i="16"/>
  <c r="C475" i="16"/>
  <c r="B475" i="16"/>
  <c r="I474" i="16"/>
  <c r="G474" i="16"/>
  <c r="F474" i="16"/>
  <c r="D474" i="16"/>
  <c r="C474" i="16"/>
  <c r="B474" i="16"/>
  <c r="I473" i="16"/>
  <c r="G473" i="16"/>
  <c r="F473" i="16"/>
  <c r="D473" i="16"/>
  <c r="C473" i="16"/>
  <c r="B473" i="16"/>
  <c r="I472" i="16"/>
  <c r="G472" i="16"/>
  <c r="F472" i="16"/>
  <c r="D472" i="16"/>
  <c r="C472" i="16"/>
  <c r="B472" i="16"/>
  <c r="I471" i="16"/>
  <c r="G471" i="16"/>
  <c r="F471" i="16"/>
  <c r="D471" i="16"/>
  <c r="C471" i="16"/>
  <c r="B471" i="16"/>
  <c r="I470" i="16"/>
  <c r="G470" i="16"/>
  <c r="F470" i="16"/>
  <c r="D470" i="16"/>
  <c r="C470" i="16"/>
  <c r="B470" i="16"/>
  <c r="I469" i="16"/>
  <c r="G469" i="16"/>
  <c r="F469" i="16"/>
  <c r="D469" i="16"/>
  <c r="C469" i="16"/>
  <c r="B469" i="16"/>
  <c r="I468" i="16"/>
  <c r="G468" i="16"/>
  <c r="F468" i="16"/>
  <c r="D468" i="16"/>
  <c r="C468" i="16"/>
  <c r="B468" i="16"/>
  <c r="I467" i="16"/>
  <c r="G467" i="16"/>
  <c r="F467" i="16"/>
  <c r="D467" i="16"/>
  <c r="C467" i="16"/>
  <c r="B467" i="16"/>
  <c r="I466" i="16"/>
  <c r="G466" i="16"/>
  <c r="F466" i="16"/>
  <c r="D466" i="16"/>
  <c r="C466" i="16"/>
  <c r="B466" i="16"/>
  <c r="I465" i="16"/>
  <c r="G465" i="16"/>
  <c r="F465" i="16"/>
  <c r="D465" i="16"/>
  <c r="C465" i="16"/>
  <c r="B465" i="16"/>
  <c r="I464" i="16"/>
  <c r="G464" i="16"/>
  <c r="F464" i="16"/>
  <c r="D464" i="16"/>
  <c r="C464" i="16"/>
  <c r="B464" i="16"/>
  <c r="I463" i="16"/>
  <c r="G463" i="16"/>
  <c r="F463" i="16"/>
  <c r="D463" i="16"/>
  <c r="C463" i="16"/>
  <c r="B463" i="16"/>
  <c r="I462" i="16"/>
  <c r="G462" i="16"/>
  <c r="F462" i="16"/>
  <c r="D462" i="16"/>
  <c r="C462" i="16"/>
  <c r="B462" i="16"/>
  <c r="I461" i="16"/>
  <c r="G461" i="16"/>
  <c r="F461" i="16"/>
  <c r="D461" i="16"/>
  <c r="C461" i="16"/>
  <c r="B461" i="16"/>
  <c r="I460" i="16"/>
  <c r="G460" i="16"/>
  <c r="F460" i="16"/>
  <c r="D460" i="16"/>
  <c r="C460" i="16"/>
  <c r="B460" i="16"/>
  <c r="I459" i="16"/>
  <c r="G459" i="16"/>
  <c r="F459" i="16"/>
  <c r="D459" i="16"/>
  <c r="C459" i="16"/>
  <c r="B459" i="16"/>
  <c r="I458" i="16"/>
  <c r="G458" i="16"/>
  <c r="F458" i="16"/>
  <c r="D458" i="16"/>
  <c r="C458" i="16"/>
  <c r="B458" i="16"/>
  <c r="I457" i="16"/>
  <c r="G457" i="16"/>
  <c r="F457" i="16"/>
  <c r="D457" i="16"/>
  <c r="C457" i="16"/>
  <c r="B457" i="16"/>
  <c r="I456" i="16"/>
  <c r="G456" i="16"/>
  <c r="F456" i="16"/>
  <c r="D456" i="16"/>
  <c r="C456" i="16"/>
  <c r="B456" i="16"/>
  <c r="I455" i="16"/>
  <c r="G455" i="16"/>
  <c r="F455" i="16"/>
  <c r="D455" i="16"/>
  <c r="C455" i="16"/>
  <c r="B455" i="16"/>
  <c r="I454" i="16"/>
  <c r="G454" i="16"/>
  <c r="F454" i="16"/>
  <c r="D454" i="16"/>
  <c r="C454" i="16"/>
  <c r="B454" i="16"/>
  <c r="I453" i="16"/>
  <c r="G453" i="16"/>
  <c r="F453" i="16"/>
  <c r="D453" i="16"/>
  <c r="C453" i="16"/>
  <c r="B453" i="16"/>
  <c r="I452" i="16"/>
  <c r="G452" i="16"/>
  <c r="F452" i="16"/>
  <c r="D452" i="16"/>
  <c r="C452" i="16"/>
  <c r="B452" i="16"/>
  <c r="I451" i="16"/>
  <c r="G451" i="16"/>
  <c r="F451" i="16"/>
  <c r="D451" i="16"/>
  <c r="C451" i="16"/>
  <c r="B451" i="16"/>
  <c r="I450" i="16"/>
  <c r="G450" i="16"/>
  <c r="F450" i="16"/>
  <c r="D450" i="16"/>
  <c r="C450" i="16"/>
  <c r="B450" i="16"/>
  <c r="I449" i="16"/>
  <c r="G449" i="16"/>
  <c r="F449" i="16"/>
  <c r="D449" i="16"/>
  <c r="C449" i="16"/>
  <c r="B449" i="16"/>
  <c r="I448" i="16"/>
  <c r="G448" i="16"/>
  <c r="F448" i="16"/>
  <c r="D448" i="16"/>
  <c r="C448" i="16"/>
  <c r="B448" i="16"/>
  <c r="I447" i="16"/>
  <c r="G447" i="16"/>
  <c r="F447" i="16"/>
  <c r="D447" i="16"/>
  <c r="C447" i="16"/>
  <c r="B447" i="16"/>
  <c r="I446" i="16"/>
  <c r="G446" i="16"/>
  <c r="F446" i="16"/>
  <c r="D446" i="16"/>
  <c r="C446" i="16"/>
  <c r="B446" i="16"/>
  <c r="I445" i="16"/>
  <c r="G445" i="16"/>
  <c r="F445" i="16"/>
  <c r="D445" i="16"/>
  <c r="C445" i="16"/>
  <c r="B445" i="16"/>
  <c r="I444" i="16"/>
  <c r="G444" i="16"/>
  <c r="F444" i="16"/>
  <c r="D444" i="16"/>
  <c r="C444" i="16"/>
  <c r="B444" i="16"/>
  <c r="I443" i="16"/>
  <c r="G443" i="16"/>
  <c r="F443" i="16"/>
  <c r="D443" i="16"/>
  <c r="C443" i="16"/>
  <c r="B443" i="16"/>
  <c r="I442" i="16"/>
  <c r="G442" i="16"/>
  <c r="F442" i="16"/>
  <c r="D442" i="16"/>
  <c r="C442" i="16"/>
  <c r="B442" i="16"/>
  <c r="I441" i="16"/>
  <c r="G441" i="16"/>
  <c r="F441" i="16"/>
  <c r="D441" i="16"/>
  <c r="C441" i="16"/>
  <c r="B441" i="16"/>
  <c r="I440" i="16"/>
  <c r="G440" i="16"/>
  <c r="F440" i="16"/>
  <c r="D440" i="16"/>
  <c r="C440" i="16"/>
  <c r="B440" i="16"/>
  <c r="I439" i="16"/>
  <c r="G439" i="16"/>
  <c r="F439" i="16"/>
  <c r="D439" i="16"/>
  <c r="C439" i="16"/>
  <c r="B439" i="16"/>
  <c r="I438" i="16"/>
  <c r="G438" i="16"/>
  <c r="F438" i="16"/>
  <c r="D438" i="16"/>
  <c r="C438" i="16"/>
  <c r="B438" i="16"/>
  <c r="I437" i="16"/>
  <c r="G437" i="16"/>
  <c r="F437" i="16"/>
  <c r="D437" i="16"/>
  <c r="C437" i="16"/>
  <c r="B437" i="16"/>
  <c r="I436" i="16"/>
  <c r="G436" i="16"/>
  <c r="F436" i="16"/>
  <c r="D436" i="16"/>
  <c r="C436" i="16"/>
  <c r="B436" i="16"/>
  <c r="I435" i="16"/>
  <c r="G435" i="16"/>
  <c r="F435" i="16"/>
  <c r="D435" i="16"/>
  <c r="C435" i="16"/>
  <c r="B435" i="16"/>
  <c r="I434" i="16"/>
  <c r="G434" i="16"/>
  <c r="F434" i="16"/>
  <c r="D434" i="16"/>
  <c r="C434" i="16"/>
  <c r="B434" i="16"/>
  <c r="I433" i="16"/>
  <c r="G433" i="16"/>
  <c r="F433" i="16"/>
  <c r="D433" i="16"/>
  <c r="C433" i="16"/>
  <c r="B433" i="16"/>
  <c r="I432" i="16"/>
  <c r="G432" i="16"/>
  <c r="F432" i="16"/>
  <c r="D432" i="16"/>
  <c r="C432" i="16"/>
  <c r="B432" i="16"/>
  <c r="I431" i="16"/>
  <c r="G431" i="16"/>
  <c r="F431" i="16"/>
  <c r="D431" i="16"/>
  <c r="C431" i="16"/>
  <c r="B431" i="16"/>
  <c r="I430" i="16"/>
  <c r="G430" i="16"/>
  <c r="F430" i="16"/>
  <c r="D430" i="16"/>
  <c r="C430" i="16"/>
  <c r="B430" i="16"/>
  <c r="I429" i="16"/>
  <c r="G429" i="16"/>
  <c r="F429" i="16"/>
  <c r="D429" i="16"/>
  <c r="C429" i="16"/>
  <c r="B429" i="16"/>
  <c r="I428" i="16"/>
  <c r="G428" i="16"/>
  <c r="F428" i="16"/>
  <c r="D428" i="16"/>
  <c r="C428" i="16"/>
  <c r="B428" i="16"/>
  <c r="I427" i="16"/>
  <c r="G427" i="16"/>
  <c r="F427" i="16"/>
  <c r="D427" i="16"/>
  <c r="C427" i="16"/>
  <c r="B427" i="16"/>
  <c r="I426" i="16"/>
  <c r="G426" i="16"/>
  <c r="F426" i="16"/>
  <c r="D426" i="16"/>
  <c r="C426" i="16"/>
  <c r="B426" i="16"/>
  <c r="I425" i="16"/>
  <c r="G425" i="16"/>
  <c r="F425" i="16"/>
  <c r="D425" i="16"/>
  <c r="C425" i="16"/>
  <c r="B425" i="16"/>
  <c r="I424" i="16"/>
  <c r="G424" i="16"/>
  <c r="F424" i="16"/>
  <c r="D424" i="16"/>
  <c r="C424" i="16"/>
  <c r="B424" i="16"/>
  <c r="I423" i="16"/>
  <c r="G423" i="16"/>
  <c r="F423" i="16"/>
  <c r="D423" i="16"/>
  <c r="C423" i="16"/>
  <c r="B423" i="16"/>
  <c r="I422" i="16"/>
  <c r="G422" i="16"/>
  <c r="F422" i="16"/>
  <c r="D422" i="16"/>
  <c r="C422" i="16"/>
  <c r="B422" i="16"/>
  <c r="I421" i="16"/>
  <c r="G421" i="16"/>
  <c r="D421" i="16"/>
  <c r="C421" i="16"/>
  <c r="B421" i="16"/>
  <c r="I420" i="16"/>
  <c r="G420" i="16"/>
  <c r="D420" i="16"/>
  <c r="C420" i="16"/>
  <c r="B420" i="16"/>
  <c r="I419" i="16"/>
  <c r="G419" i="16"/>
  <c r="F419" i="16"/>
  <c r="D419" i="16"/>
  <c r="C419" i="16"/>
  <c r="B419" i="16"/>
  <c r="I418" i="16"/>
  <c r="G418" i="16"/>
  <c r="F418" i="16"/>
  <c r="D418" i="16"/>
  <c r="C418" i="16"/>
  <c r="B418" i="16"/>
  <c r="I417" i="16"/>
  <c r="G417" i="16"/>
  <c r="D417" i="16"/>
  <c r="C417" i="16"/>
  <c r="B417" i="16"/>
  <c r="I416" i="16"/>
  <c r="G416" i="16"/>
  <c r="D416" i="16"/>
  <c r="C416" i="16"/>
  <c r="B416" i="16"/>
  <c r="I415" i="16"/>
  <c r="G415" i="16"/>
  <c r="F415" i="16"/>
  <c r="D415" i="16"/>
  <c r="C415" i="16"/>
  <c r="B415" i="16"/>
  <c r="I414" i="16"/>
  <c r="G414" i="16"/>
  <c r="F414" i="16"/>
  <c r="D414" i="16"/>
  <c r="C414" i="16"/>
  <c r="B414" i="16"/>
  <c r="I413" i="16"/>
  <c r="G413" i="16"/>
  <c r="F413" i="16"/>
  <c r="D413" i="16"/>
  <c r="C413" i="16"/>
  <c r="B413" i="16"/>
  <c r="I412" i="16"/>
  <c r="G412" i="16"/>
  <c r="D412" i="16"/>
  <c r="C412" i="16"/>
  <c r="B412" i="16"/>
  <c r="I411" i="16"/>
  <c r="G411" i="16"/>
  <c r="F411" i="16"/>
  <c r="D411" i="16"/>
  <c r="C411" i="16"/>
  <c r="B411" i="16"/>
  <c r="I410" i="16"/>
  <c r="G410" i="16"/>
  <c r="F410" i="16"/>
  <c r="D410" i="16"/>
  <c r="C410" i="16"/>
  <c r="B410" i="16"/>
  <c r="I409" i="16"/>
  <c r="G409" i="16"/>
  <c r="F409" i="16"/>
  <c r="D409" i="16"/>
  <c r="C409" i="16"/>
  <c r="B409" i="16"/>
  <c r="I408" i="16"/>
  <c r="G408" i="16"/>
  <c r="F408" i="16"/>
  <c r="D408" i="16"/>
  <c r="C408" i="16"/>
  <c r="B408" i="16"/>
  <c r="I407" i="16"/>
  <c r="G407" i="16"/>
  <c r="F407" i="16"/>
  <c r="D407" i="16"/>
  <c r="C407" i="16"/>
  <c r="B407" i="16"/>
  <c r="I406" i="16"/>
  <c r="G406" i="16"/>
  <c r="F406" i="16"/>
  <c r="D406" i="16"/>
  <c r="C406" i="16"/>
  <c r="B406" i="16"/>
  <c r="I405" i="16"/>
  <c r="G405" i="16"/>
  <c r="F405" i="16"/>
  <c r="D405" i="16"/>
  <c r="C405" i="16"/>
  <c r="B405" i="16"/>
  <c r="I404" i="16"/>
  <c r="G404" i="16"/>
  <c r="D404" i="16"/>
  <c r="C404" i="16"/>
  <c r="B404" i="16"/>
  <c r="I403" i="16"/>
  <c r="G403" i="16"/>
  <c r="F403" i="16"/>
  <c r="D403" i="16"/>
  <c r="C403" i="16"/>
  <c r="B403" i="16"/>
  <c r="I402" i="16"/>
  <c r="G402" i="16"/>
  <c r="D402" i="16"/>
  <c r="C402" i="16"/>
  <c r="B402" i="16"/>
  <c r="I401" i="16"/>
  <c r="G401" i="16"/>
  <c r="F401" i="16"/>
  <c r="D401" i="16"/>
  <c r="C401" i="16"/>
  <c r="B401" i="16"/>
  <c r="I400" i="16"/>
  <c r="G400" i="16"/>
  <c r="F400" i="16"/>
  <c r="D400" i="16"/>
  <c r="C400" i="16"/>
  <c r="B400" i="16"/>
  <c r="I399" i="16"/>
  <c r="G399" i="16"/>
  <c r="F399" i="16"/>
  <c r="D399" i="16"/>
  <c r="C399" i="16"/>
  <c r="B399" i="16"/>
  <c r="I398" i="16"/>
  <c r="G398" i="16"/>
  <c r="F398" i="16"/>
  <c r="D398" i="16"/>
  <c r="C398" i="16"/>
  <c r="B398" i="16"/>
  <c r="I397" i="16"/>
  <c r="G397" i="16"/>
  <c r="F397" i="16"/>
  <c r="D397" i="16"/>
  <c r="C397" i="16"/>
  <c r="B397" i="16"/>
  <c r="I396" i="16"/>
  <c r="G396" i="16"/>
  <c r="F396" i="16"/>
  <c r="D396" i="16"/>
  <c r="C396" i="16"/>
  <c r="B396" i="16"/>
  <c r="I395" i="16"/>
  <c r="G395" i="16"/>
  <c r="F395" i="16"/>
  <c r="D395" i="16"/>
  <c r="C395" i="16"/>
  <c r="B395" i="16"/>
  <c r="I394" i="16"/>
  <c r="G394" i="16"/>
  <c r="F394" i="16"/>
  <c r="D394" i="16"/>
  <c r="C394" i="16"/>
  <c r="B394" i="16"/>
  <c r="I393" i="16"/>
  <c r="G393" i="16"/>
  <c r="F393" i="16"/>
  <c r="D393" i="16"/>
  <c r="C393" i="16"/>
  <c r="B393" i="16"/>
  <c r="I392" i="16"/>
  <c r="G392" i="16"/>
  <c r="F392" i="16"/>
  <c r="D392" i="16"/>
  <c r="C392" i="16"/>
  <c r="B392" i="16"/>
  <c r="I391" i="16"/>
  <c r="G391" i="16"/>
  <c r="F391" i="16"/>
  <c r="D391" i="16"/>
  <c r="C391" i="16"/>
  <c r="B391" i="16"/>
  <c r="I390" i="16"/>
  <c r="G390" i="16"/>
  <c r="F390" i="16"/>
  <c r="D390" i="16"/>
  <c r="C390" i="16"/>
  <c r="B390" i="16"/>
  <c r="I389" i="16"/>
  <c r="G389" i="16"/>
  <c r="F389" i="16"/>
  <c r="D389" i="16"/>
  <c r="C389" i="16"/>
  <c r="B389" i="16"/>
  <c r="I388" i="16"/>
  <c r="G388" i="16"/>
  <c r="F388" i="16"/>
  <c r="D388" i="16"/>
  <c r="C388" i="16"/>
  <c r="B388" i="16"/>
  <c r="I387" i="16"/>
  <c r="G387" i="16"/>
  <c r="F387" i="16"/>
  <c r="D387" i="16"/>
  <c r="C387" i="16"/>
  <c r="B387" i="16"/>
  <c r="I386" i="16"/>
  <c r="G386" i="16"/>
  <c r="F386" i="16"/>
  <c r="D386" i="16"/>
  <c r="C386" i="16"/>
  <c r="B386" i="16"/>
  <c r="I385" i="16"/>
  <c r="G385" i="16"/>
  <c r="F385" i="16"/>
  <c r="D385" i="16"/>
  <c r="C385" i="16"/>
  <c r="B385" i="16"/>
  <c r="I384" i="16"/>
  <c r="G384" i="16"/>
  <c r="F384" i="16"/>
  <c r="D384" i="16"/>
  <c r="C384" i="16"/>
  <c r="B384" i="16"/>
  <c r="I383" i="16"/>
  <c r="G383" i="16"/>
  <c r="F383" i="16"/>
  <c r="D383" i="16"/>
  <c r="C383" i="16"/>
  <c r="B383" i="16"/>
  <c r="I382" i="16"/>
  <c r="G382" i="16"/>
  <c r="F382" i="16"/>
  <c r="D382" i="16"/>
  <c r="C382" i="16"/>
  <c r="B382" i="16"/>
  <c r="I381" i="16"/>
  <c r="G381" i="16"/>
  <c r="F381" i="16"/>
  <c r="D381" i="16"/>
  <c r="C381" i="16"/>
  <c r="B381" i="16"/>
  <c r="I380" i="16"/>
  <c r="G380" i="16"/>
  <c r="F380" i="16"/>
  <c r="D380" i="16"/>
  <c r="C380" i="16"/>
  <c r="B380" i="16"/>
  <c r="I379" i="16"/>
  <c r="G379" i="16"/>
  <c r="F379" i="16"/>
  <c r="D379" i="16"/>
  <c r="C379" i="16"/>
  <c r="B379" i="16"/>
  <c r="I378" i="16"/>
  <c r="G378" i="16"/>
  <c r="F378" i="16"/>
  <c r="D378" i="16"/>
  <c r="C378" i="16"/>
  <c r="B378" i="16"/>
  <c r="I377" i="16"/>
  <c r="G377" i="16"/>
  <c r="F377" i="16"/>
  <c r="D377" i="16"/>
  <c r="C377" i="16"/>
  <c r="B377" i="16"/>
  <c r="I376" i="16"/>
  <c r="G376" i="16"/>
  <c r="F376" i="16"/>
  <c r="D376" i="16"/>
  <c r="C376" i="16"/>
  <c r="B376" i="16"/>
  <c r="I375" i="16"/>
  <c r="G375" i="16"/>
  <c r="F375" i="16"/>
  <c r="D375" i="16"/>
  <c r="C375" i="16"/>
  <c r="B375" i="16"/>
  <c r="I374" i="16"/>
  <c r="G374" i="16"/>
  <c r="F374" i="16"/>
  <c r="D374" i="16"/>
  <c r="C374" i="16"/>
  <c r="B374" i="16"/>
  <c r="I373" i="16"/>
  <c r="G373" i="16"/>
  <c r="F373" i="16"/>
  <c r="D373" i="16"/>
  <c r="C373" i="16"/>
  <c r="B373" i="16"/>
  <c r="I372" i="16"/>
  <c r="G372" i="16"/>
  <c r="F372" i="16"/>
  <c r="D372" i="16"/>
  <c r="C372" i="16"/>
  <c r="B372" i="16"/>
  <c r="I371" i="16"/>
  <c r="G371" i="16"/>
  <c r="F371" i="16"/>
  <c r="D371" i="16"/>
  <c r="C371" i="16"/>
  <c r="B371" i="16"/>
  <c r="I370" i="16"/>
  <c r="G370" i="16"/>
  <c r="F370" i="16"/>
  <c r="D370" i="16"/>
  <c r="C370" i="16"/>
  <c r="B370" i="16"/>
  <c r="I369" i="16"/>
  <c r="G369" i="16"/>
  <c r="F369" i="16"/>
  <c r="D369" i="16"/>
  <c r="C369" i="16"/>
  <c r="B369" i="16"/>
  <c r="I368" i="16"/>
  <c r="G368" i="16"/>
  <c r="F368" i="16"/>
  <c r="D368" i="16"/>
  <c r="C368" i="16"/>
  <c r="B368" i="16"/>
  <c r="I367" i="16"/>
  <c r="G367" i="16"/>
  <c r="F367" i="16"/>
  <c r="D367" i="16"/>
  <c r="C367" i="16"/>
  <c r="B367" i="16"/>
  <c r="I366" i="16"/>
  <c r="G366" i="16"/>
  <c r="F366" i="16"/>
  <c r="D366" i="16"/>
  <c r="C366" i="16"/>
  <c r="B366" i="16"/>
  <c r="I365" i="16"/>
  <c r="G365" i="16"/>
  <c r="F365" i="16"/>
  <c r="D365" i="16"/>
  <c r="C365" i="16"/>
  <c r="B365" i="16"/>
  <c r="I364" i="16"/>
  <c r="G364" i="16"/>
  <c r="F364" i="16"/>
  <c r="D364" i="16"/>
  <c r="C364" i="16"/>
  <c r="B364" i="16"/>
  <c r="I363" i="16"/>
  <c r="G363" i="16"/>
  <c r="F363" i="16"/>
  <c r="D363" i="16"/>
  <c r="C363" i="16"/>
  <c r="B363" i="16"/>
  <c r="I362" i="16"/>
  <c r="G362" i="16"/>
  <c r="D362" i="16"/>
  <c r="C362" i="16"/>
  <c r="B362" i="16"/>
  <c r="I361" i="16"/>
  <c r="G361" i="16"/>
  <c r="F361" i="16"/>
  <c r="D361" i="16"/>
  <c r="C361" i="16"/>
  <c r="B361" i="16"/>
  <c r="I360" i="16"/>
  <c r="G360" i="16"/>
  <c r="F360" i="16"/>
  <c r="D360" i="16"/>
  <c r="C360" i="16"/>
  <c r="B360" i="16"/>
  <c r="I359" i="16"/>
  <c r="G359" i="16"/>
  <c r="F359" i="16"/>
  <c r="D359" i="16"/>
  <c r="C359" i="16"/>
  <c r="B359" i="16"/>
  <c r="I358" i="16"/>
  <c r="G358" i="16"/>
  <c r="F358" i="16"/>
  <c r="D358" i="16"/>
  <c r="C358" i="16"/>
  <c r="B358" i="16"/>
  <c r="I357" i="16"/>
  <c r="G357" i="16"/>
  <c r="F357" i="16"/>
  <c r="D357" i="16"/>
  <c r="C357" i="16"/>
  <c r="B357" i="16"/>
  <c r="I356" i="16"/>
  <c r="G356" i="16"/>
  <c r="F356" i="16"/>
  <c r="D356" i="16"/>
  <c r="C356" i="16"/>
  <c r="B356" i="16"/>
  <c r="I355" i="16"/>
  <c r="G355" i="16"/>
  <c r="F355" i="16"/>
  <c r="D355" i="16"/>
  <c r="C355" i="16"/>
  <c r="B355" i="16"/>
  <c r="I354" i="16"/>
  <c r="G354" i="16"/>
  <c r="F354" i="16"/>
  <c r="D354" i="16"/>
  <c r="C354" i="16"/>
  <c r="B354" i="16"/>
  <c r="I353" i="16"/>
  <c r="G353" i="16"/>
  <c r="F353" i="16"/>
  <c r="D353" i="16"/>
  <c r="C353" i="16"/>
  <c r="B353" i="16"/>
  <c r="I352" i="16"/>
  <c r="G352" i="16"/>
  <c r="F352" i="16"/>
  <c r="D352" i="16"/>
  <c r="C352" i="16"/>
  <c r="B352" i="16"/>
  <c r="I351" i="16"/>
  <c r="G351" i="16"/>
  <c r="F351" i="16"/>
  <c r="D351" i="16"/>
  <c r="C351" i="16"/>
  <c r="B351" i="16"/>
  <c r="I350" i="16"/>
  <c r="G350" i="16"/>
  <c r="F350" i="16"/>
  <c r="D350" i="16"/>
  <c r="C350" i="16"/>
  <c r="B350" i="16"/>
  <c r="I349" i="16"/>
  <c r="G349" i="16"/>
  <c r="F349" i="16"/>
  <c r="D349" i="16"/>
  <c r="C349" i="16"/>
  <c r="B349" i="16"/>
  <c r="I348" i="16"/>
  <c r="G348" i="16"/>
  <c r="F348" i="16"/>
  <c r="D348" i="16"/>
  <c r="C348" i="16"/>
  <c r="B348" i="16"/>
  <c r="I347" i="16"/>
  <c r="G347" i="16"/>
  <c r="F347" i="16"/>
  <c r="D347" i="16"/>
  <c r="C347" i="16"/>
  <c r="B347" i="16"/>
  <c r="I346" i="16"/>
  <c r="G346" i="16"/>
  <c r="F346" i="16"/>
  <c r="D346" i="16"/>
  <c r="C346" i="16"/>
  <c r="B346" i="16"/>
  <c r="I345" i="16"/>
  <c r="G345" i="16"/>
  <c r="F345" i="16"/>
  <c r="D345" i="16"/>
  <c r="C345" i="16"/>
  <c r="B345" i="16"/>
  <c r="I344" i="16"/>
  <c r="G344" i="16"/>
  <c r="F344" i="16"/>
  <c r="D344" i="16"/>
  <c r="C344" i="16"/>
  <c r="B344" i="16"/>
  <c r="I343" i="16"/>
  <c r="G343" i="16"/>
  <c r="F343" i="16"/>
  <c r="D343" i="16"/>
  <c r="C343" i="16"/>
  <c r="B343" i="16"/>
  <c r="I342" i="16"/>
  <c r="G342" i="16"/>
  <c r="F342" i="16"/>
  <c r="D342" i="16"/>
  <c r="C342" i="16"/>
  <c r="B342" i="16"/>
  <c r="I341" i="16"/>
  <c r="G341" i="16"/>
  <c r="F341" i="16"/>
  <c r="D341" i="16"/>
  <c r="C341" i="16"/>
  <c r="B341" i="16"/>
  <c r="I340" i="16"/>
  <c r="G340" i="16"/>
  <c r="F340" i="16"/>
  <c r="D340" i="16"/>
  <c r="C340" i="16"/>
  <c r="B340" i="16"/>
  <c r="I339" i="16"/>
  <c r="G339" i="16"/>
  <c r="F339" i="16"/>
  <c r="D339" i="16"/>
  <c r="C339" i="16"/>
  <c r="B339" i="16"/>
  <c r="I338" i="16"/>
  <c r="G338" i="16"/>
  <c r="F338" i="16"/>
  <c r="D338" i="16"/>
  <c r="C338" i="16"/>
  <c r="B338" i="16"/>
  <c r="I337" i="16"/>
  <c r="G337" i="16"/>
  <c r="F337" i="16"/>
  <c r="D337" i="16"/>
  <c r="C337" i="16"/>
  <c r="B337" i="16"/>
  <c r="I336" i="16"/>
  <c r="G336" i="16"/>
  <c r="F336" i="16"/>
  <c r="D336" i="16"/>
  <c r="C336" i="16"/>
  <c r="B336" i="16"/>
  <c r="I335" i="16"/>
  <c r="G335" i="16"/>
  <c r="F335" i="16"/>
  <c r="D335" i="16"/>
  <c r="C335" i="16"/>
  <c r="B335" i="16"/>
  <c r="I334" i="16"/>
  <c r="G334" i="16"/>
  <c r="F334" i="16"/>
  <c r="D334" i="16"/>
  <c r="C334" i="16"/>
  <c r="B334" i="16"/>
  <c r="I333" i="16"/>
  <c r="G333" i="16"/>
  <c r="F333" i="16"/>
  <c r="D333" i="16"/>
  <c r="C333" i="16"/>
  <c r="B333" i="16"/>
  <c r="I332" i="16"/>
  <c r="G332" i="16"/>
  <c r="F332" i="16"/>
  <c r="D332" i="16"/>
  <c r="C332" i="16"/>
  <c r="B332" i="16"/>
  <c r="I331" i="16"/>
  <c r="G331" i="16"/>
  <c r="F331" i="16"/>
  <c r="D331" i="16"/>
  <c r="C331" i="16"/>
  <c r="B331" i="16"/>
  <c r="I330" i="16"/>
  <c r="G330" i="16"/>
  <c r="F330" i="16"/>
  <c r="D330" i="16"/>
  <c r="C330" i="16"/>
  <c r="B330" i="16"/>
  <c r="I329" i="16"/>
  <c r="G329" i="16"/>
  <c r="F329" i="16"/>
  <c r="D329" i="16"/>
  <c r="C329" i="16"/>
  <c r="B329" i="16"/>
  <c r="I328" i="16"/>
  <c r="G328" i="16"/>
  <c r="F328" i="16"/>
  <c r="D328" i="16"/>
  <c r="C328" i="16"/>
  <c r="B328" i="16"/>
  <c r="I327" i="16"/>
  <c r="G327" i="16"/>
  <c r="F327" i="16"/>
  <c r="D327" i="16"/>
  <c r="C327" i="16"/>
  <c r="B327" i="16"/>
  <c r="I326" i="16"/>
  <c r="G326" i="16"/>
  <c r="F326" i="16"/>
  <c r="D326" i="16"/>
  <c r="C326" i="16"/>
  <c r="B326" i="16"/>
  <c r="I325" i="16"/>
  <c r="G325" i="16"/>
  <c r="F325" i="16"/>
  <c r="D325" i="16"/>
  <c r="C325" i="16"/>
  <c r="B325" i="16"/>
  <c r="I324" i="16"/>
  <c r="G324" i="16"/>
  <c r="F324" i="16"/>
  <c r="D324" i="16"/>
  <c r="C324" i="16"/>
  <c r="B324" i="16"/>
  <c r="I323" i="16"/>
  <c r="G323" i="16"/>
  <c r="F323" i="16"/>
  <c r="D323" i="16"/>
  <c r="C323" i="16"/>
  <c r="B323" i="16"/>
  <c r="I322" i="16"/>
  <c r="G322" i="16"/>
  <c r="F322" i="16"/>
  <c r="D322" i="16"/>
  <c r="C322" i="16"/>
  <c r="B322" i="16"/>
  <c r="I321" i="16"/>
  <c r="G321" i="16"/>
  <c r="F321" i="16"/>
  <c r="D321" i="16"/>
  <c r="C321" i="16"/>
  <c r="B321" i="16"/>
  <c r="I320" i="16"/>
  <c r="G320" i="16"/>
  <c r="F320" i="16"/>
  <c r="D320" i="16"/>
  <c r="C320" i="16"/>
  <c r="B320" i="16"/>
  <c r="I319" i="16"/>
  <c r="G319" i="16"/>
  <c r="F319" i="16"/>
  <c r="D319" i="16"/>
  <c r="C319" i="16"/>
  <c r="B319" i="16"/>
  <c r="I318" i="16"/>
  <c r="G318" i="16"/>
  <c r="F318" i="16"/>
  <c r="D318" i="16"/>
  <c r="C318" i="16"/>
  <c r="B318" i="16"/>
  <c r="I317" i="16"/>
  <c r="G317" i="16"/>
  <c r="F317" i="16"/>
  <c r="D317" i="16"/>
  <c r="C317" i="16"/>
  <c r="B317" i="16"/>
  <c r="I316" i="16"/>
  <c r="G316" i="16"/>
  <c r="F316" i="16"/>
  <c r="D316" i="16"/>
  <c r="C316" i="16"/>
  <c r="B316" i="16"/>
  <c r="I315" i="16"/>
  <c r="G315" i="16"/>
  <c r="F315" i="16"/>
  <c r="D315" i="16"/>
  <c r="C315" i="16"/>
  <c r="B315" i="16"/>
  <c r="I314" i="16"/>
  <c r="G314" i="16"/>
  <c r="F314" i="16"/>
  <c r="D314" i="16"/>
  <c r="C314" i="16"/>
  <c r="B314" i="16"/>
  <c r="I313" i="16"/>
  <c r="G313" i="16"/>
  <c r="F313" i="16"/>
  <c r="D313" i="16"/>
  <c r="C313" i="16"/>
  <c r="B313" i="16"/>
  <c r="I312" i="16"/>
  <c r="G312" i="16"/>
  <c r="F312" i="16"/>
  <c r="D312" i="16"/>
  <c r="C312" i="16"/>
  <c r="B312" i="16"/>
  <c r="I311" i="16"/>
  <c r="G311" i="16"/>
  <c r="F311" i="16"/>
  <c r="D311" i="16"/>
  <c r="C311" i="16"/>
  <c r="B311" i="16"/>
  <c r="I310" i="16"/>
  <c r="G310" i="16"/>
  <c r="F310" i="16"/>
  <c r="D310" i="16"/>
  <c r="C310" i="16"/>
  <c r="B310" i="16"/>
  <c r="I309" i="16"/>
  <c r="G309" i="16"/>
  <c r="F309" i="16"/>
  <c r="D309" i="16"/>
  <c r="C309" i="16"/>
  <c r="B309" i="16"/>
  <c r="I308" i="16"/>
  <c r="G308" i="16"/>
  <c r="F308" i="16"/>
  <c r="D308" i="16"/>
  <c r="C308" i="16"/>
  <c r="B308" i="16"/>
  <c r="I307" i="16"/>
  <c r="G307" i="16"/>
  <c r="F307" i="16"/>
  <c r="D307" i="16"/>
  <c r="C307" i="16"/>
  <c r="B307" i="16"/>
  <c r="I306" i="16"/>
  <c r="G306" i="16"/>
  <c r="F306" i="16"/>
  <c r="D306" i="16"/>
  <c r="C306" i="16"/>
  <c r="B306" i="16"/>
  <c r="I305" i="16"/>
  <c r="G305" i="16"/>
  <c r="F305" i="16"/>
  <c r="D305" i="16"/>
  <c r="C305" i="16"/>
  <c r="B305" i="16"/>
  <c r="I304" i="16"/>
  <c r="G304" i="16"/>
  <c r="F304" i="16"/>
  <c r="D304" i="16"/>
  <c r="C304" i="16"/>
  <c r="B304" i="16"/>
  <c r="I303" i="16"/>
  <c r="G303" i="16"/>
  <c r="F303" i="16"/>
  <c r="D303" i="16"/>
  <c r="C303" i="16"/>
  <c r="B303" i="16"/>
  <c r="I302" i="16"/>
  <c r="G302" i="16"/>
  <c r="F302" i="16"/>
  <c r="D302" i="16"/>
  <c r="C302" i="16"/>
  <c r="B302" i="16"/>
  <c r="I301" i="16"/>
  <c r="G301" i="16"/>
  <c r="F301" i="16"/>
  <c r="D301" i="16"/>
  <c r="C301" i="16"/>
  <c r="B301" i="16"/>
  <c r="I300" i="16"/>
  <c r="G300" i="16"/>
  <c r="F300" i="16"/>
  <c r="D300" i="16"/>
  <c r="C300" i="16"/>
  <c r="B300" i="16"/>
  <c r="I299" i="16"/>
  <c r="G299" i="16"/>
  <c r="F299" i="16"/>
  <c r="D299" i="16"/>
  <c r="C299" i="16"/>
  <c r="B299" i="16"/>
  <c r="I298" i="16"/>
  <c r="G298" i="16"/>
  <c r="F298" i="16"/>
  <c r="D298" i="16"/>
  <c r="C298" i="16"/>
  <c r="B298" i="16"/>
  <c r="I297" i="16"/>
  <c r="G297" i="16"/>
  <c r="F297" i="16"/>
  <c r="D297" i="16"/>
  <c r="C297" i="16"/>
  <c r="B297" i="16"/>
  <c r="I296" i="16"/>
  <c r="G296" i="16"/>
  <c r="F296" i="16"/>
  <c r="D296" i="16"/>
  <c r="C296" i="16"/>
  <c r="B296" i="16"/>
  <c r="I295" i="16"/>
  <c r="G295" i="16"/>
  <c r="F295" i="16"/>
  <c r="D295" i="16"/>
  <c r="C295" i="16"/>
  <c r="B295" i="16"/>
  <c r="I294" i="16"/>
  <c r="G294" i="16"/>
  <c r="F294" i="16"/>
  <c r="D294" i="16"/>
  <c r="C294" i="16"/>
  <c r="B294" i="16"/>
  <c r="I293" i="16"/>
  <c r="G293" i="16"/>
  <c r="F293" i="16"/>
  <c r="D293" i="16"/>
  <c r="C293" i="16"/>
  <c r="B293" i="16"/>
  <c r="I292" i="16"/>
  <c r="G292" i="16"/>
  <c r="F292" i="16"/>
  <c r="D292" i="16"/>
  <c r="C292" i="16"/>
  <c r="B292" i="16"/>
  <c r="I291" i="16"/>
  <c r="G291" i="16"/>
  <c r="F291" i="16"/>
  <c r="D291" i="16"/>
  <c r="C291" i="16"/>
  <c r="B291" i="16"/>
  <c r="I290" i="16"/>
  <c r="G290" i="16"/>
  <c r="F290" i="16"/>
  <c r="D290" i="16"/>
  <c r="C290" i="16"/>
  <c r="B290" i="16"/>
  <c r="I289" i="16"/>
  <c r="G289" i="16"/>
  <c r="F289" i="16"/>
  <c r="D289" i="16"/>
  <c r="C289" i="16"/>
  <c r="B289" i="16"/>
  <c r="I288" i="16"/>
  <c r="G288" i="16"/>
  <c r="F288" i="16"/>
  <c r="D288" i="16"/>
  <c r="C288" i="16"/>
  <c r="B288" i="16"/>
  <c r="I287" i="16"/>
  <c r="G287" i="16"/>
  <c r="F287" i="16"/>
  <c r="D287" i="16"/>
  <c r="C287" i="16"/>
  <c r="B287" i="16"/>
  <c r="I286" i="16"/>
  <c r="G286" i="16"/>
  <c r="F286" i="16"/>
  <c r="D286" i="16"/>
  <c r="C286" i="16"/>
  <c r="B286" i="16"/>
  <c r="I285" i="16"/>
  <c r="G285" i="16"/>
  <c r="F285" i="16"/>
  <c r="D285" i="16"/>
  <c r="C285" i="16"/>
  <c r="B285" i="16"/>
  <c r="I284" i="16"/>
  <c r="G284" i="16"/>
  <c r="F284" i="16"/>
  <c r="D284" i="16"/>
  <c r="C284" i="16"/>
  <c r="B284" i="16"/>
  <c r="I283" i="16"/>
  <c r="G283" i="16"/>
  <c r="F283" i="16"/>
  <c r="D283" i="16"/>
  <c r="C283" i="16"/>
  <c r="B283" i="16"/>
  <c r="I282" i="16"/>
  <c r="G282" i="16"/>
  <c r="F282" i="16"/>
  <c r="D282" i="16"/>
  <c r="C282" i="16"/>
  <c r="B282" i="16"/>
  <c r="I281" i="16"/>
  <c r="G281" i="16"/>
  <c r="F281" i="16"/>
  <c r="D281" i="16"/>
  <c r="C281" i="16"/>
  <c r="B281" i="16"/>
  <c r="I280" i="16"/>
  <c r="G280" i="16"/>
  <c r="F280" i="16"/>
  <c r="D280" i="16"/>
  <c r="C280" i="16"/>
  <c r="B280" i="16"/>
  <c r="I279" i="16"/>
  <c r="G279" i="16"/>
  <c r="F279" i="16"/>
  <c r="D279" i="16"/>
  <c r="C279" i="16"/>
  <c r="B279" i="16"/>
  <c r="I278" i="16"/>
  <c r="G278" i="16"/>
  <c r="F278" i="16"/>
  <c r="D278" i="16"/>
  <c r="C278" i="16"/>
  <c r="B278" i="16"/>
  <c r="I277" i="16"/>
  <c r="G277" i="16"/>
  <c r="F277" i="16"/>
  <c r="D277" i="16"/>
  <c r="C277" i="16"/>
  <c r="B277" i="16"/>
  <c r="I276" i="16"/>
  <c r="G276" i="16"/>
  <c r="F276" i="16"/>
  <c r="D276" i="16"/>
  <c r="C276" i="16"/>
  <c r="B276" i="16"/>
  <c r="I275" i="16"/>
  <c r="G275" i="16"/>
  <c r="F275" i="16"/>
  <c r="D275" i="16"/>
  <c r="C275" i="16"/>
  <c r="B275" i="16"/>
  <c r="I274" i="16"/>
  <c r="G274" i="16"/>
  <c r="F274" i="16"/>
  <c r="D274" i="16"/>
  <c r="C274" i="16"/>
  <c r="B274" i="16"/>
  <c r="I273" i="16"/>
  <c r="G273" i="16"/>
  <c r="F273" i="16"/>
  <c r="D273" i="16"/>
  <c r="C273" i="16"/>
  <c r="B273" i="16"/>
  <c r="I272" i="16"/>
  <c r="G272" i="16"/>
  <c r="F272" i="16"/>
  <c r="D272" i="16"/>
  <c r="C272" i="16"/>
  <c r="B272" i="16"/>
  <c r="I271" i="16"/>
  <c r="G271" i="16"/>
  <c r="F271" i="16"/>
  <c r="D271" i="16"/>
  <c r="C271" i="16"/>
  <c r="B271" i="16"/>
  <c r="I270" i="16"/>
  <c r="G270" i="16"/>
  <c r="F270" i="16"/>
  <c r="D270" i="16"/>
  <c r="C270" i="16"/>
  <c r="B270" i="16"/>
  <c r="I269" i="16"/>
  <c r="G269" i="16"/>
  <c r="F269" i="16"/>
  <c r="D269" i="16"/>
  <c r="C269" i="16"/>
  <c r="B269" i="16"/>
  <c r="I268" i="16"/>
  <c r="G268" i="16"/>
  <c r="F268" i="16"/>
  <c r="D268" i="16"/>
  <c r="C268" i="16"/>
  <c r="B268" i="16"/>
  <c r="I267" i="16"/>
  <c r="G267" i="16"/>
  <c r="F267" i="16"/>
  <c r="D267" i="16"/>
  <c r="C267" i="16"/>
  <c r="B267" i="16"/>
  <c r="I266" i="16"/>
  <c r="G266" i="16"/>
  <c r="F266" i="16"/>
  <c r="D266" i="16"/>
  <c r="C266" i="16"/>
  <c r="B266" i="16"/>
  <c r="I265" i="16"/>
  <c r="G265" i="16"/>
  <c r="F265" i="16"/>
  <c r="D265" i="16"/>
  <c r="C265" i="16"/>
  <c r="B265" i="16"/>
  <c r="I264" i="16"/>
  <c r="G264" i="16"/>
  <c r="F264" i="16"/>
  <c r="D264" i="16"/>
  <c r="C264" i="16"/>
  <c r="B264" i="16"/>
  <c r="I263" i="16"/>
  <c r="G263" i="16"/>
  <c r="F263" i="16"/>
  <c r="D263" i="16"/>
  <c r="C263" i="16"/>
  <c r="B263" i="16"/>
  <c r="I262" i="16"/>
  <c r="G262" i="16"/>
  <c r="F262" i="16"/>
  <c r="D262" i="16"/>
  <c r="C262" i="16"/>
  <c r="B262" i="16"/>
  <c r="I261" i="16"/>
  <c r="G261" i="16"/>
  <c r="F261" i="16"/>
  <c r="D261" i="16"/>
  <c r="C261" i="16"/>
  <c r="B261" i="16"/>
  <c r="I260" i="16"/>
  <c r="G260" i="16"/>
  <c r="F260" i="16"/>
  <c r="D260" i="16"/>
  <c r="C260" i="16"/>
  <c r="B260" i="16"/>
  <c r="I259" i="16"/>
  <c r="G259" i="16"/>
  <c r="F259" i="16"/>
  <c r="D259" i="16"/>
  <c r="C259" i="16"/>
  <c r="B259" i="16"/>
  <c r="I258" i="16"/>
  <c r="G258" i="16"/>
  <c r="F258" i="16"/>
  <c r="D258" i="16"/>
  <c r="C258" i="16"/>
  <c r="B258" i="16"/>
  <c r="I257" i="16"/>
  <c r="G257" i="16"/>
  <c r="F257" i="16"/>
  <c r="D257" i="16"/>
  <c r="C257" i="16"/>
  <c r="B257" i="16"/>
  <c r="I256" i="16"/>
  <c r="G256" i="16"/>
  <c r="F256" i="16"/>
  <c r="D256" i="16"/>
  <c r="C256" i="16"/>
  <c r="B256" i="16"/>
  <c r="I255" i="16"/>
  <c r="G255" i="16"/>
  <c r="F255" i="16"/>
  <c r="D255" i="16"/>
  <c r="C255" i="16"/>
  <c r="B255" i="16"/>
  <c r="I254" i="16"/>
  <c r="G254" i="16"/>
  <c r="F254" i="16"/>
  <c r="D254" i="16"/>
  <c r="C254" i="16"/>
  <c r="B254" i="16"/>
  <c r="I253" i="16"/>
  <c r="G253" i="16"/>
  <c r="F253" i="16"/>
  <c r="D253" i="16"/>
  <c r="C253" i="16"/>
  <c r="B253" i="16"/>
  <c r="I252" i="16"/>
  <c r="G252" i="16"/>
  <c r="F252" i="16"/>
  <c r="D252" i="16"/>
  <c r="C252" i="16"/>
  <c r="B252" i="16"/>
  <c r="I251" i="16"/>
  <c r="G251" i="16"/>
  <c r="F251" i="16"/>
  <c r="D251" i="16"/>
  <c r="C251" i="16"/>
  <c r="B251" i="16"/>
  <c r="I250" i="16"/>
  <c r="G250" i="16"/>
  <c r="F250" i="16"/>
  <c r="D250" i="16"/>
  <c r="C250" i="16"/>
  <c r="B250" i="16"/>
  <c r="I249" i="16"/>
  <c r="G249" i="16"/>
  <c r="F249" i="16"/>
  <c r="D249" i="16"/>
  <c r="C249" i="16"/>
  <c r="B249" i="16"/>
  <c r="I248" i="16"/>
  <c r="G248" i="16"/>
  <c r="F248" i="16"/>
  <c r="D248" i="16"/>
  <c r="C248" i="16"/>
  <c r="B248" i="16"/>
  <c r="I247" i="16"/>
  <c r="G247" i="16"/>
  <c r="F247" i="16"/>
  <c r="D247" i="16"/>
  <c r="C247" i="16"/>
  <c r="B247" i="16"/>
  <c r="I246" i="16"/>
  <c r="G246" i="16"/>
  <c r="F246" i="16"/>
  <c r="D246" i="16"/>
  <c r="C246" i="16"/>
  <c r="B246" i="16"/>
  <c r="I245" i="16"/>
  <c r="G245" i="16"/>
  <c r="F245" i="16"/>
  <c r="D245" i="16"/>
  <c r="C245" i="16"/>
  <c r="B245" i="16"/>
  <c r="I244" i="16"/>
  <c r="G244" i="16"/>
  <c r="F244" i="16"/>
  <c r="D244" i="16"/>
  <c r="C244" i="16"/>
  <c r="B244" i="16"/>
  <c r="I243" i="16"/>
  <c r="G243" i="16"/>
  <c r="F243" i="16"/>
  <c r="D243" i="16"/>
  <c r="C243" i="16"/>
  <c r="B243" i="16"/>
  <c r="I242" i="16"/>
  <c r="G242" i="16"/>
  <c r="F242" i="16"/>
  <c r="D242" i="16"/>
  <c r="C242" i="16"/>
  <c r="B242" i="16"/>
  <c r="I241" i="16"/>
  <c r="G241" i="16"/>
  <c r="F241" i="16"/>
  <c r="D241" i="16"/>
  <c r="C241" i="16"/>
  <c r="B241" i="16"/>
  <c r="I240" i="16"/>
  <c r="G240" i="16"/>
  <c r="F240" i="16"/>
  <c r="D240" i="16"/>
  <c r="C240" i="16"/>
  <c r="B240" i="16"/>
  <c r="I239" i="16"/>
  <c r="G239" i="16"/>
  <c r="F239" i="16"/>
  <c r="D239" i="16"/>
  <c r="C239" i="16"/>
  <c r="B239" i="16"/>
  <c r="I238" i="16"/>
  <c r="G238" i="16"/>
  <c r="F238" i="16"/>
  <c r="D238" i="16"/>
  <c r="C238" i="16"/>
  <c r="B238" i="16"/>
  <c r="I237" i="16"/>
  <c r="G237" i="16"/>
  <c r="F237" i="16"/>
  <c r="D237" i="16"/>
  <c r="C237" i="16"/>
  <c r="B237" i="16"/>
  <c r="I236" i="16"/>
  <c r="G236" i="16"/>
  <c r="F236" i="16"/>
  <c r="D236" i="16"/>
  <c r="C236" i="16"/>
  <c r="B236" i="16"/>
  <c r="I235" i="16"/>
  <c r="G235" i="16"/>
  <c r="F235" i="16"/>
  <c r="D235" i="16"/>
  <c r="C235" i="16"/>
  <c r="B235" i="16"/>
  <c r="I234" i="16"/>
  <c r="G234" i="16"/>
  <c r="F234" i="16"/>
  <c r="D234" i="16"/>
  <c r="C234" i="16"/>
  <c r="B234" i="16"/>
  <c r="I233" i="16"/>
  <c r="G233" i="16"/>
  <c r="F233" i="16"/>
  <c r="D233" i="16"/>
  <c r="C233" i="16"/>
  <c r="B233" i="16"/>
  <c r="I232" i="16"/>
  <c r="G232" i="16"/>
  <c r="F232" i="16"/>
  <c r="D232" i="16"/>
  <c r="C232" i="16"/>
  <c r="B232" i="16"/>
  <c r="I231" i="16"/>
  <c r="G231" i="16"/>
  <c r="F231" i="16"/>
  <c r="D231" i="16"/>
  <c r="C231" i="16"/>
  <c r="B231" i="16"/>
  <c r="I230" i="16"/>
  <c r="G230" i="16"/>
  <c r="F230" i="16"/>
  <c r="D230" i="16"/>
  <c r="C230" i="16"/>
  <c r="B230" i="16"/>
  <c r="I229" i="16"/>
  <c r="G229" i="16"/>
  <c r="F229" i="16"/>
  <c r="D229" i="16"/>
  <c r="C229" i="16"/>
  <c r="B229" i="16"/>
  <c r="I228" i="16"/>
  <c r="G228" i="16"/>
  <c r="F228" i="16"/>
  <c r="D228" i="16"/>
  <c r="C228" i="16"/>
  <c r="B228" i="16"/>
  <c r="I227" i="16"/>
  <c r="G227" i="16"/>
  <c r="F227" i="16"/>
  <c r="D227" i="16"/>
  <c r="C227" i="16"/>
  <c r="B227" i="16"/>
  <c r="I226" i="16"/>
  <c r="G226" i="16"/>
  <c r="F226" i="16"/>
  <c r="D226" i="16"/>
  <c r="C226" i="16"/>
  <c r="B226" i="16"/>
  <c r="I225" i="16"/>
  <c r="G225" i="16"/>
  <c r="F225" i="16"/>
  <c r="D225" i="16"/>
  <c r="C225" i="16"/>
  <c r="B225" i="16"/>
  <c r="I224" i="16"/>
  <c r="G224" i="16"/>
  <c r="F224" i="16"/>
  <c r="D224" i="16"/>
  <c r="C224" i="16"/>
  <c r="B224" i="16"/>
  <c r="I223" i="16"/>
  <c r="G223" i="16"/>
  <c r="F223" i="16"/>
  <c r="D223" i="16"/>
  <c r="C223" i="16"/>
  <c r="B223" i="16"/>
  <c r="I222" i="16"/>
  <c r="G222" i="16"/>
  <c r="F222" i="16"/>
  <c r="D222" i="16"/>
  <c r="C222" i="16"/>
  <c r="B222" i="16"/>
  <c r="I221" i="16"/>
  <c r="G221" i="16"/>
  <c r="F221" i="16"/>
  <c r="D221" i="16"/>
  <c r="C221" i="16"/>
  <c r="B221" i="16"/>
  <c r="I220" i="16"/>
  <c r="G220" i="16"/>
  <c r="F220" i="16"/>
  <c r="D220" i="16"/>
  <c r="C220" i="16"/>
  <c r="B220" i="16"/>
  <c r="I219" i="16"/>
  <c r="G219" i="16"/>
  <c r="F219" i="16"/>
  <c r="D219" i="16"/>
  <c r="C219" i="16"/>
  <c r="B219" i="16"/>
  <c r="I218" i="16"/>
  <c r="G218" i="16"/>
  <c r="F218" i="16"/>
  <c r="D218" i="16"/>
  <c r="C218" i="16"/>
  <c r="B218" i="16"/>
  <c r="I217" i="16"/>
  <c r="G217" i="16"/>
  <c r="F217" i="16"/>
  <c r="D217" i="16"/>
  <c r="C217" i="16"/>
  <c r="B217" i="16"/>
  <c r="I216" i="16"/>
  <c r="G216" i="16"/>
  <c r="F216" i="16"/>
  <c r="D216" i="16"/>
  <c r="C216" i="16"/>
  <c r="B216" i="16"/>
  <c r="I215" i="16"/>
  <c r="G215" i="16"/>
  <c r="F215" i="16"/>
  <c r="D215" i="16"/>
  <c r="C215" i="16"/>
  <c r="B215" i="16"/>
  <c r="I214" i="16"/>
  <c r="G214" i="16"/>
  <c r="F214" i="16"/>
  <c r="D214" i="16"/>
  <c r="C214" i="16"/>
  <c r="B214" i="16"/>
  <c r="I213" i="16"/>
  <c r="G213" i="16"/>
  <c r="F213" i="16"/>
  <c r="D213" i="16"/>
  <c r="C213" i="16"/>
  <c r="B213" i="16"/>
  <c r="I212" i="16"/>
  <c r="G212" i="16"/>
  <c r="F212" i="16"/>
  <c r="D212" i="16"/>
  <c r="C212" i="16"/>
  <c r="B212" i="16"/>
  <c r="I211" i="16"/>
  <c r="G211" i="16"/>
  <c r="F211" i="16"/>
  <c r="D211" i="16"/>
  <c r="C211" i="16"/>
  <c r="B211" i="16"/>
  <c r="I210" i="16"/>
  <c r="G210" i="16"/>
  <c r="F210" i="16"/>
  <c r="D210" i="16"/>
  <c r="C210" i="16"/>
  <c r="B210" i="16"/>
  <c r="I209" i="16"/>
  <c r="G209" i="16"/>
  <c r="F209" i="16"/>
  <c r="D209" i="16"/>
  <c r="C209" i="16"/>
  <c r="B209" i="16"/>
  <c r="I208" i="16"/>
  <c r="G208" i="16"/>
  <c r="F208" i="16"/>
  <c r="D208" i="16"/>
  <c r="C208" i="16"/>
  <c r="B208" i="16"/>
  <c r="I207" i="16"/>
  <c r="G207" i="16"/>
  <c r="F207" i="16"/>
  <c r="D207" i="16"/>
  <c r="C207" i="16"/>
  <c r="B207" i="16"/>
  <c r="I206" i="16"/>
  <c r="G206" i="16"/>
  <c r="F206" i="16"/>
  <c r="D206" i="16"/>
  <c r="C206" i="16"/>
  <c r="B206" i="16"/>
  <c r="I205" i="16"/>
  <c r="G205" i="16"/>
  <c r="F205" i="16"/>
  <c r="D205" i="16"/>
  <c r="C205" i="16"/>
  <c r="B205" i="16"/>
  <c r="I204" i="16"/>
  <c r="G204" i="16"/>
  <c r="F204" i="16"/>
  <c r="D204" i="16"/>
  <c r="C204" i="16"/>
  <c r="B204" i="16"/>
  <c r="I203" i="16"/>
  <c r="G203" i="16"/>
  <c r="F203" i="16"/>
  <c r="D203" i="16"/>
  <c r="C203" i="16"/>
  <c r="B203" i="16"/>
  <c r="I202" i="16"/>
  <c r="G202" i="16"/>
  <c r="F202" i="16"/>
  <c r="D202" i="16"/>
  <c r="C202" i="16"/>
  <c r="B202" i="16"/>
  <c r="I201" i="16"/>
  <c r="G201" i="16"/>
  <c r="F201" i="16"/>
  <c r="D201" i="16"/>
  <c r="C201" i="16"/>
  <c r="B201" i="16"/>
  <c r="I200" i="16"/>
  <c r="G200" i="16"/>
  <c r="F200" i="16"/>
  <c r="D200" i="16"/>
  <c r="C200" i="16"/>
  <c r="B200" i="16"/>
  <c r="I199" i="16"/>
  <c r="G199" i="16"/>
  <c r="F199" i="16"/>
  <c r="D199" i="16"/>
  <c r="C199" i="16"/>
  <c r="B199" i="16"/>
  <c r="I198" i="16"/>
  <c r="G198" i="16"/>
  <c r="F198" i="16"/>
  <c r="D198" i="16"/>
  <c r="C198" i="16"/>
  <c r="B198" i="16"/>
  <c r="I197" i="16"/>
  <c r="G197" i="16"/>
  <c r="F197" i="16"/>
  <c r="D197" i="16"/>
  <c r="C197" i="16"/>
  <c r="B197" i="16"/>
  <c r="I196" i="16"/>
  <c r="G196" i="16"/>
  <c r="F196" i="16"/>
  <c r="D196" i="16"/>
  <c r="C196" i="16"/>
  <c r="B196" i="16"/>
  <c r="I195" i="16"/>
  <c r="G195" i="16"/>
  <c r="F195" i="16"/>
  <c r="D195" i="16"/>
  <c r="C195" i="16"/>
  <c r="B195" i="16"/>
  <c r="I194" i="16"/>
  <c r="G194" i="16"/>
  <c r="F194" i="16"/>
  <c r="D194" i="16"/>
  <c r="C194" i="16"/>
  <c r="B194" i="16"/>
  <c r="I193" i="16"/>
  <c r="G193" i="16"/>
  <c r="F193" i="16"/>
  <c r="D193" i="16"/>
  <c r="C193" i="16"/>
  <c r="B193" i="16"/>
  <c r="I192" i="16"/>
  <c r="G192" i="16"/>
  <c r="F192" i="16"/>
  <c r="D192" i="16"/>
  <c r="C192" i="16"/>
  <c r="B192" i="16"/>
  <c r="I191" i="16"/>
  <c r="G191" i="16"/>
  <c r="F191" i="16"/>
  <c r="D191" i="16"/>
  <c r="C191" i="16"/>
  <c r="B191" i="16"/>
  <c r="I190" i="16"/>
  <c r="G190" i="16"/>
  <c r="F190" i="16"/>
  <c r="D190" i="16"/>
  <c r="C190" i="16"/>
  <c r="B190" i="16"/>
  <c r="I189" i="16"/>
  <c r="G189" i="16"/>
  <c r="F189" i="16"/>
  <c r="D189" i="16"/>
  <c r="C189" i="16"/>
  <c r="B189" i="16"/>
  <c r="I188" i="16"/>
  <c r="G188" i="16"/>
  <c r="F188" i="16"/>
  <c r="D188" i="16"/>
  <c r="C188" i="16"/>
  <c r="B188" i="16"/>
  <c r="I187" i="16"/>
  <c r="G187" i="16"/>
  <c r="F187" i="16"/>
  <c r="D187" i="16"/>
  <c r="C187" i="16"/>
  <c r="B187" i="16"/>
  <c r="I186" i="16"/>
  <c r="G186" i="16"/>
  <c r="F186" i="16"/>
  <c r="D186" i="16"/>
  <c r="C186" i="16"/>
  <c r="B186" i="16"/>
  <c r="I185" i="16"/>
  <c r="G185" i="16"/>
  <c r="F185" i="16"/>
  <c r="D185" i="16"/>
  <c r="C185" i="16"/>
  <c r="B185" i="16"/>
  <c r="I184" i="16"/>
  <c r="G184" i="16"/>
  <c r="F184" i="16"/>
  <c r="D184" i="16"/>
  <c r="C184" i="16"/>
  <c r="B184" i="16"/>
  <c r="I183" i="16"/>
  <c r="G183" i="16"/>
  <c r="F183" i="16"/>
  <c r="D183" i="16"/>
  <c r="C183" i="16"/>
  <c r="B183" i="16"/>
  <c r="I182" i="16"/>
  <c r="G182" i="16"/>
  <c r="F182" i="16"/>
  <c r="D182" i="16"/>
  <c r="C182" i="16"/>
  <c r="B182" i="16"/>
  <c r="I181" i="16"/>
  <c r="G181" i="16"/>
  <c r="F181" i="16"/>
  <c r="D181" i="16"/>
  <c r="C181" i="16"/>
  <c r="B181" i="16"/>
  <c r="I180" i="16"/>
  <c r="G180" i="16"/>
  <c r="F180" i="16"/>
  <c r="D180" i="16"/>
  <c r="C180" i="16"/>
  <c r="B180" i="16"/>
  <c r="I179" i="16"/>
  <c r="G179" i="16"/>
  <c r="F179" i="16"/>
  <c r="D179" i="16"/>
  <c r="C179" i="16"/>
  <c r="B179" i="16"/>
  <c r="I178" i="16"/>
  <c r="G178" i="16"/>
  <c r="F178" i="16"/>
  <c r="D178" i="16"/>
  <c r="C178" i="16"/>
  <c r="B178" i="16"/>
  <c r="I177" i="16"/>
  <c r="G177" i="16"/>
  <c r="F177" i="16"/>
  <c r="D177" i="16"/>
  <c r="C177" i="16"/>
  <c r="B177" i="16"/>
  <c r="I176" i="16"/>
  <c r="G176" i="16"/>
  <c r="F176" i="16"/>
  <c r="D176" i="16"/>
  <c r="C176" i="16"/>
  <c r="B176" i="16"/>
  <c r="I175" i="16"/>
  <c r="G175" i="16"/>
  <c r="F175" i="16"/>
  <c r="D175" i="16"/>
  <c r="C175" i="16"/>
  <c r="B175" i="16"/>
  <c r="I174" i="16"/>
  <c r="G174" i="16"/>
  <c r="F174" i="16"/>
  <c r="D174" i="16"/>
  <c r="C174" i="16"/>
  <c r="B174" i="16"/>
  <c r="I173" i="16"/>
  <c r="G173" i="16"/>
  <c r="F173" i="16"/>
  <c r="D173" i="16"/>
  <c r="C173" i="16"/>
  <c r="B173" i="16"/>
  <c r="I172" i="16"/>
  <c r="G172" i="16"/>
  <c r="F172" i="16"/>
  <c r="D172" i="16"/>
  <c r="C172" i="16"/>
  <c r="B172" i="16"/>
  <c r="I171" i="16"/>
  <c r="G171" i="16"/>
  <c r="F171" i="16"/>
  <c r="D171" i="16"/>
  <c r="C171" i="16"/>
  <c r="B171" i="16"/>
  <c r="I170" i="16"/>
  <c r="G170" i="16"/>
  <c r="F170" i="16"/>
  <c r="D170" i="16"/>
  <c r="C170" i="16"/>
  <c r="B170" i="16"/>
  <c r="I169" i="16"/>
  <c r="G169" i="16"/>
  <c r="F169" i="16"/>
  <c r="D169" i="16"/>
  <c r="C169" i="16"/>
  <c r="B169" i="16"/>
  <c r="I168" i="16"/>
  <c r="G168" i="16"/>
  <c r="F168" i="16"/>
  <c r="D168" i="16"/>
  <c r="C168" i="16"/>
  <c r="B168" i="16"/>
  <c r="I167" i="16"/>
  <c r="G167" i="16"/>
  <c r="F167" i="16"/>
  <c r="D167" i="16"/>
  <c r="C167" i="16"/>
  <c r="B167" i="16"/>
  <c r="I166" i="16"/>
  <c r="G166" i="16"/>
  <c r="F166" i="16"/>
  <c r="D166" i="16"/>
  <c r="C166" i="16"/>
  <c r="B166" i="16"/>
  <c r="I165" i="16"/>
  <c r="G165" i="16"/>
  <c r="F165" i="16"/>
  <c r="D165" i="16"/>
  <c r="C165" i="16"/>
  <c r="B165" i="16"/>
  <c r="I164" i="16"/>
  <c r="G164" i="16"/>
  <c r="F164" i="16"/>
  <c r="D164" i="16"/>
  <c r="C164" i="16"/>
  <c r="B164" i="16"/>
  <c r="I163" i="16"/>
  <c r="G163" i="16"/>
  <c r="F163" i="16"/>
  <c r="D163" i="16"/>
  <c r="C163" i="16"/>
  <c r="B163" i="16"/>
  <c r="I162" i="16"/>
  <c r="G162" i="16"/>
  <c r="F162" i="16"/>
  <c r="D162" i="16"/>
  <c r="C162" i="16"/>
  <c r="B162" i="16"/>
  <c r="I161" i="16"/>
  <c r="G161" i="16"/>
  <c r="F161" i="16"/>
  <c r="D161" i="16"/>
  <c r="C161" i="16"/>
  <c r="B161" i="16"/>
  <c r="I160" i="16"/>
  <c r="G160" i="16"/>
  <c r="F160" i="16"/>
  <c r="D160" i="16"/>
  <c r="C160" i="16"/>
  <c r="B160" i="16"/>
  <c r="I159" i="16"/>
  <c r="G159" i="16"/>
  <c r="F159" i="16"/>
  <c r="D159" i="16"/>
  <c r="C159" i="16"/>
  <c r="B159" i="16"/>
  <c r="I158" i="16"/>
  <c r="G158" i="16"/>
  <c r="F158" i="16"/>
  <c r="D158" i="16"/>
  <c r="C158" i="16"/>
  <c r="B158" i="16"/>
  <c r="I157" i="16"/>
  <c r="G157" i="16"/>
  <c r="F157" i="16"/>
  <c r="D157" i="16"/>
  <c r="C157" i="16"/>
  <c r="B157" i="16"/>
  <c r="I156" i="16"/>
  <c r="G156" i="16"/>
  <c r="F156" i="16"/>
  <c r="D156" i="16"/>
  <c r="C156" i="16"/>
  <c r="B156" i="16"/>
  <c r="I155" i="16"/>
  <c r="G155" i="16"/>
  <c r="F155" i="16"/>
  <c r="D155" i="16"/>
  <c r="C155" i="16"/>
  <c r="B155" i="16"/>
  <c r="I154" i="16"/>
  <c r="G154" i="16"/>
  <c r="F154" i="16"/>
  <c r="D154" i="16"/>
  <c r="C154" i="16"/>
  <c r="B154" i="16"/>
  <c r="I153" i="16"/>
  <c r="G153" i="16"/>
  <c r="F153" i="16"/>
  <c r="D153" i="16"/>
  <c r="C153" i="16"/>
  <c r="B153" i="16"/>
  <c r="I152" i="16"/>
  <c r="G152" i="16"/>
  <c r="F152" i="16"/>
  <c r="D152" i="16"/>
  <c r="C152" i="16"/>
  <c r="B152" i="16"/>
  <c r="I151" i="16"/>
  <c r="G151" i="16"/>
  <c r="F151" i="16"/>
  <c r="D151" i="16"/>
  <c r="C151" i="16"/>
  <c r="B151" i="16"/>
  <c r="I150" i="16"/>
  <c r="G150" i="16"/>
  <c r="F150" i="16"/>
  <c r="D150" i="16"/>
  <c r="C150" i="16"/>
  <c r="B150" i="16"/>
  <c r="I149" i="16"/>
  <c r="G149" i="16"/>
  <c r="F149" i="16"/>
  <c r="D149" i="16"/>
  <c r="C149" i="16"/>
  <c r="B149" i="16"/>
  <c r="I148" i="16"/>
  <c r="G148" i="16"/>
  <c r="F148" i="16"/>
  <c r="D148" i="16"/>
  <c r="C148" i="16"/>
  <c r="B148" i="16"/>
  <c r="I147" i="16"/>
  <c r="G147" i="16"/>
  <c r="F147" i="16"/>
  <c r="D147" i="16"/>
  <c r="C147" i="16"/>
  <c r="B147" i="16"/>
  <c r="I146" i="16"/>
  <c r="G146" i="16"/>
  <c r="F146" i="16"/>
  <c r="D146" i="16"/>
  <c r="C146" i="16"/>
  <c r="B146" i="16"/>
  <c r="I145" i="16"/>
  <c r="G145" i="16"/>
  <c r="F145" i="16"/>
  <c r="D145" i="16"/>
  <c r="C145" i="16"/>
  <c r="B145" i="16"/>
  <c r="I144" i="16"/>
  <c r="G144" i="16"/>
  <c r="F144" i="16"/>
  <c r="D144" i="16"/>
  <c r="C144" i="16"/>
  <c r="B144" i="16"/>
  <c r="I143" i="16"/>
  <c r="G143" i="16"/>
  <c r="F143" i="16"/>
  <c r="D143" i="16"/>
  <c r="C143" i="16"/>
  <c r="B143" i="16"/>
  <c r="I142" i="16"/>
  <c r="G142" i="16"/>
  <c r="F142" i="16"/>
  <c r="D142" i="16"/>
  <c r="C142" i="16"/>
  <c r="B142" i="16"/>
  <c r="I141" i="16"/>
  <c r="G141" i="16"/>
  <c r="F141" i="16"/>
  <c r="D141" i="16"/>
  <c r="C141" i="16"/>
  <c r="B141" i="16"/>
  <c r="I140" i="16"/>
  <c r="G140" i="16"/>
  <c r="F140" i="16"/>
  <c r="D140" i="16"/>
  <c r="C140" i="16"/>
  <c r="B140" i="16"/>
  <c r="I139" i="16"/>
  <c r="G139" i="16"/>
  <c r="F139" i="16"/>
  <c r="D139" i="16"/>
  <c r="C139" i="16"/>
  <c r="B139" i="16"/>
  <c r="I138" i="16"/>
  <c r="G138" i="16"/>
  <c r="F138" i="16"/>
  <c r="D138" i="16"/>
  <c r="C138" i="16"/>
  <c r="B138" i="16"/>
  <c r="I137" i="16"/>
  <c r="G137" i="16"/>
  <c r="F137" i="16"/>
  <c r="D137" i="16"/>
  <c r="C137" i="16"/>
  <c r="B137" i="16"/>
  <c r="I136" i="16"/>
  <c r="G136" i="16"/>
  <c r="F136" i="16"/>
  <c r="D136" i="16"/>
  <c r="C136" i="16"/>
  <c r="B136" i="16"/>
  <c r="I135" i="16"/>
  <c r="G135" i="16"/>
  <c r="F135" i="16"/>
  <c r="D135" i="16"/>
  <c r="C135" i="16"/>
  <c r="B135" i="16"/>
  <c r="I134" i="16"/>
  <c r="G134" i="16"/>
  <c r="F134" i="16"/>
  <c r="D134" i="16"/>
  <c r="C134" i="16"/>
  <c r="B134" i="16"/>
  <c r="I133" i="16"/>
  <c r="G133" i="16"/>
  <c r="F133" i="16"/>
  <c r="D133" i="16"/>
  <c r="C133" i="16"/>
  <c r="B133" i="16"/>
  <c r="I132" i="16"/>
  <c r="G132" i="16"/>
  <c r="F132" i="16"/>
  <c r="D132" i="16"/>
  <c r="C132" i="16"/>
  <c r="B132" i="16"/>
  <c r="I131" i="16"/>
  <c r="G131" i="16"/>
  <c r="F131" i="16"/>
  <c r="D131" i="16"/>
  <c r="C131" i="16"/>
  <c r="B131" i="16"/>
  <c r="I130" i="16"/>
  <c r="G130" i="16"/>
  <c r="F130" i="16"/>
  <c r="D130" i="16"/>
  <c r="C130" i="16"/>
  <c r="B130" i="16"/>
  <c r="I129" i="16"/>
  <c r="G129" i="16"/>
  <c r="F129" i="16"/>
  <c r="D129" i="16"/>
  <c r="C129" i="16"/>
  <c r="B129" i="16"/>
  <c r="I128" i="16"/>
  <c r="G128" i="16"/>
  <c r="F128" i="16"/>
  <c r="D128" i="16"/>
  <c r="C128" i="16"/>
  <c r="B128" i="16"/>
  <c r="I127" i="16"/>
  <c r="G127" i="16"/>
  <c r="F127" i="16"/>
  <c r="D127" i="16"/>
  <c r="C127" i="16"/>
  <c r="B127" i="16"/>
  <c r="I126" i="16"/>
  <c r="G126" i="16"/>
  <c r="F126" i="16"/>
  <c r="D126" i="16"/>
  <c r="C126" i="16"/>
  <c r="B126" i="16"/>
  <c r="I125" i="16"/>
  <c r="G125" i="16"/>
  <c r="F125" i="16"/>
  <c r="D125" i="16"/>
  <c r="C125" i="16"/>
  <c r="B125" i="16"/>
  <c r="I124" i="16"/>
  <c r="G124" i="16"/>
  <c r="F124" i="16"/>
  <c r="D124" i="16"/>
  <c r="C124" i="16"/>
  <c r="B124" i="16"/>
  <c r="I123" i="16"/>
  <c r="G123" i="16"/>
  <c r="F123" i="16"/>
  <c r="D123" i="16"/>
  <c r="C123" i="16"/>
  <c r="B123" i="16"/>
  <c r="I122" i="16"/>
  <c r="G122" i="16"/>
  <c r="F122" i="16"/>
  <c r="D122" i="16"/>
  <c r="C122" i="16"/>
  <c r="B122" i="16"/>
  <c r="I121" i="16"/>
  <c r="G121" i="16"/>
  <c r="F121" i="16"/>
  <c r="D121" i="16"/>
  <c r="C121" i="16"/>
  <c r="B121" i="16"/>
  <c r="I120" i="16"/>
  <c r="G120" i="16"/>
  <c r="F120" i="16"/>
  <c r="D120" i="16"/>
  <c r="C120" i="16"/>
  <c r="B120" i="16"/>
  <c r="I119" i="16"/>
  <c r="G119" i="16"/>
  <c r="F119" i="16"/>
  <c r="D119" i="16"/>
  <c r="C119" i="16"/>
  <c r="B119" i="16"/>
  <c r="I118" i="16"/>
  <c r="G118" i="16"/>
  <c r="F118" i="16"/>
  <c r="D118" i="16"/>
  <c r="C118" i="16"/>
  <c r="B118" i="16"/>
  <c r="I117" i="16"/>
  <c r="G117" i="16"/>
  <c r="F117" i="16"/>
  <c r="D117" i="16"/>
  <c r="C117" i="16"/>
  <c r="B117" i="16"/>
  <c r="I116" i="16"/>
  <c r="G116" i="16"/>
  <c r="F116" i="16"/>
  <c r="D116" i="16"/>
  <c r="C116" i="16"/>
  <c r="B116" i="16"/>
  <c r="I115" i="16"/>
  <c r="G115" i="16"/>
  <c r="F115" i="16"/>
  <c r="D115" i="16"/>
  <c r="C115" i="16"/>
  <c r="B115" i="16"/>
  <c r="I114" i="16"/>
  <c r="G114" i="16"/>
  <c r="F114" i="16"/>
  <c r="D114" i="16"/>
  <c r="C114" i="16"/>
  <c r="B114" i="16"/>
  <c r="I113" i="16"/>
  <c r="G113" i="16"/>
  <c r="F113" i="16"/>
  <c r="D113" i="16"/>
  <c r="C113" i="16"/>
  <c r="B113" i="16"/>
  <c r="I112" i="16"/>
  <c r="G112" i="16"/>
  <c r="F112" i="16"/>
  <c r="D112" i="16"/>
  <c r="C112" i="16"/>
  <c r="B112" i="16"/>
  <c r="I111" i="16"/>
  <c r="G111" i="16"/>
  <c r="F111" i="16"/>
  <c r="D111" i="16"/>
  <c r="C111" i="16"/>
  <c r="B111" i="16"/>
  <c r="I110" i="16"/>
  <c r="G110" i="16"/>
  <c r="F110" i="16"/>
  <c r="D110" i="16"/>
  <c r="C110" i="16"/>
  <c r="B110" i="16"/>
  <c r="I109" i="16"/>
  <c r="G109" i="16"/>
  <c r="F109" i="16"/>
  <c r="D109" i="16"/>
  <c r="C109" i="16"/>
  <c r="B109" i="16"/>
  <c r="I108" i="16"/>
  <c r="G108" i="16"/>
  <c r="F108" i="16"/>
  <c r="D108" i="16"/>
  <c r="C108" i="16"/>
  <c r="B108" i="16"/>
  <c r="I107" i="16"/>
  <c r="G107" i="16"/>
  <c r="F107" i="16"/>
  <c r="D107" i="16"/>
  <c r="C107" i="16"/>
  <c r="B107" i="16"/>
  <c r="I106" i="16"/>
  <c r="G106" i="16"/>
  <c r="F106" i="16"/>
  <c r="D106" i="16"/>
  <c r="C106" i="16"/>
  <c r="B106" i="16"/>
  <c r="I105" i="16"/>
  <c r="G105" i="16"/>
  <c r="F105" i="16"/>
  <c r="D105" i="16"/>
  <c r="C105" i="16"/>
  <c r="B105" i="16"/>
  <c r="I104" i="16"/>
  <c r="G104" i="16"/>
  <c r="F104" i="16"/>
  <c r="D104" i="16"/>
  <c r="C104" i="16"/>
  <c r="B104" i="16"/>
  <c r="I103" i="16"/>
  <c r="G103" i="16"/>
  <c r="F103" i="16"/>
  <c r="D103" i="16"/>
  <c r="C103" i="16"/>
  <c r="B103" i="16"/>
  <c r="I102" i="16"/>
  <c r="G102" i="16"/>
  <c r="F102" i="16"/>
  <c r="D102" i="16"/>
  <c r="C102" i="16"/>
  <c r="B102" i="16"/>
  <c r="I101" i="16"/>
  <c r="G101" i="16"/>
  <c r="F101" i="16"/>
  <c r="D101" i="16"/>
  <c r="C101" i="16"/>
  <c r="B101" i="16"/>
  <c r="I100" i="16"/>
  <c r="G100" i="16"/>
  <c r="F100" i="16"/>
  <c r="D100" i="16"/>
  <c r="C100" i="16"/>
  <c r="B100" i="16"/>
  <c r="I99" i="16"/>
  <c r="G99" i="16"/>
  <c r="F99" i="16"/>
  <c r="D99" i="16"/>
  <c r="C99" i="16"/>
  <c r="B99" i="16"/>
  <c r="I98" i="16"/>
  <c r="G98" i="16"/>
  <c r="F98" i="16"/>
  <c r="D98" i="16"/>
  <c r="C98" i="16"/>
  <c r="B98" i="16"/>
  <c r="I97" i="16"/>
  <c r="G97" i="16"/>
  <c r="F97" i="16"/>
  <c r="D97" i="16"/>
  <c r="C97" i="16"/>
  <c r="B97" i="16"/>
  <c r="I96" i="16"/>
  <c r="G96" i="16"/>
  <c r="F96" i="16"/>
  <c r="D96" i="16"/>
  <c r="C96" i="16"/>
  <c r="B96" i="16"/>
  <c r="I95" i="16"/>
  <c r="G95" i="16"/>
  <c r="F95" i="16"/>
  <c r="D95" i="16"/>
  <c r="C95" i="16"/>
  <c r="B95" i="16"/>
  <c r="I94" i="16"/>
  <c r="G94" i="16"/>
  <c r="F94" i="16"/>
  <c r="D94" i="16"/>
  <c r="C94" i="16"/>
  <c r="B94" i="16"/>
  <c r="I93" i="16"/>
  <c r="G93" i="16"/>
  <c r="F93" i="16"/>
  <c r="D93" i="16"/>
  <c r="C93" i="16"/>
  <c r="B93" i="16"/>
  <c r="I92" i="16"/>
  <c r="G92" i="16"/>
  <c r="F92" i="16"/>
  <c r="D92" i="16"/>
  <c r="C92" i="16"/>
  <c r="B92" i="16"/>
  <c r="I91" i="16"/>
  <c r="G91" i="16"/>
  <c r="F91" i="16"/>
  <c r="D91" i="16"/>
  <c r="C91" i="16"/>
  <c r="B91" i="16"/>
  <c r="I90" i="16"/>
  <c r="G90" i="16"/>
  <c r="F90" i="16"/>
  <c r="D90" i="16"/>
  <c r="C90" i="16"/>
  <c r="B90" i="16"/>
  <c r="I89" i="16"/>
  <c r="G89" i="16"/>
  <c r="F89" i="16"/>
  <c r="D89" i="16"/>
  <c r="C89" i="16"/>
  <c r="B89" i="16"/>
  <c r="I88" i="16"/>
  <c r="G88" i="16"/>
  <c r="F88" i="16"/>
  <c r="D88" i="16"/>
  <c r="C88" i="16"/>
  <c r="B88" i="16"/>
  <c r="I87" i="16"/>
  <c r="G87" i="16"/>
  <c r="F87" i="16"/>
  <c r="D87" i="16"/>
  <c r="C87" i="16"/>
  <c r="B87" i="16"/>
  <c r="I86" i="16"/>
  <c r="G86" i="16"/>
  <c r="F86" i="16"/>
  <c r="D86" i="16"/>
  <c r="C86" i="16"/>
  <c r="B86" i="16"/>
  <c r="I85" i="16"/>
  <c r="G85" i="16"/>
  <c r="F85" i="16"/>
  <c r="D85" i="16"/>
  <c r="C85" i="16"/>
  <c r="B85" i="16"/>
  <c r="I84" i="16"/>
  <c r="G84" i="16"/>
  <c r="F84" i="16"/>
  <c r="D84" i="16"/>
  <c r="C84" i="16"/>
  <c r="B84" i="16"/>
  <c r="I83" i="16"/>
  <c r="G83" i="16"/>
  <c r="F83" i="16"/>
  <c r="D83" i="16"/>
  <c r="C83" i="16"/>
  <c r="B83" i="16"/>
  <c r="I82" i="16"/>
  <c r="G82" i="16"/>
  <c r="F82" i="16"/>
  <c r="D82" i="16"/>
  <c r="C82" i="16"/>
  <c r="B82" i="16"/>
  <c r="I81" i="16"/>
  <c r="G81" i="16"/>
  <c r="F81" i="16"/>
  <c r="D81" i="16"/>
  <c r="C81" i="16"/>
  <c r="B81" i="16"/>
  <c r="I80" i="16"/>
  <c r="G80" i="16"/>
  <c r="F80" i="16"/>
  <c r="D80" i="16"/>
  <c r="C80" i="16"/>
  <c r="B80" i="16"/>
  <c r="I79" i="16"/>
  <c r="G79" i="16"/>
  <c r="F79" i="16"/>
  <c r="D79" i="16"/>
  <c r="C79" i="16"/>
  <c r="B79" i="16"/>
  <c r="I78" i="16"/>
  <c r="G78" i="16"/>
  <c r="F78" i="16"/>
  <c r="D78" i="16"/>
  <c r="C78" i="16"/>
  <c r="B78" i="16"/>
  <c r="I77" i="16"/>
  <c r="G77" i="16"/>
  <c r="F77" i="16"/>
  <c r="D77" i="16"/>
  <c r="C77" i="16"/>
  <c r="B77" i="16"/>
  <c r="I76" i="16"/>
  <c r="G76" i="16"/>
  <c r="F76" i="16"/>
  <c r="D76" i="16"/>
  <c r="C76" i="16"/>
  <c r="B76" i="16"/>
  <c r="I75" i="16"/>
  <c r="G75" i="16"/>
  <c r="F75" i="16"/>
  <c r="D75" i="16"/>
  <c r="C75" i="16"/>
  <c r="B75" i="16"/>
  <c r="I74" i="16"/>
  <c r="G74" i="16"/>
  <c r="F74" i="16"/>
  <c r="D74" i="16"/>
  <c r="C74" i="16"/>
  <c r="B74" i="16"/>
  <c r="I73" i="16"/>
  <c r="G73" i="16"/>
  <c r="F73" i="16"/>
  <c r="D73" i="16"/>
  <c r="C73" i="16"/>
  <c r="B73" i="16"/>
  <c r="I72" i="16"/>
  <c r="G72" i="16"/>
  <c r="F72" i="16"/>
  <c r="D72" i="16"/>
  <c r="C72" i="16"/>
  <c r="B72" i="16"/>
  <c r="I71" i="16"/>
  <c r="G71" i="16"/>
  <c r="F71" i="16"/>
  <c r="D71" i="16"/>
  <c r="C71" i="16"/>
  <c r="B71" i="16"/>
  <c r="I70" i="16"/>
  <c r="G70" i="16"/>
  <c r="F70" i="16"/>
  <c r="D70" i="16"/>
  <c r="C70" i="16"/>
  <c r="B70" i="16"/>
  <c r="I69" i="16"/>
  <c r="G69" i="16"/>
  <c r="F69" i="16"/>
  <c r="D69" i="16"/>
  <c r="C69" i="16"/>
  <c r="B69" i="16"/>
  <c r="I68" i="16"/>
  <c r="G68" i="16"/>
  <c r="F68" i="16"/>
  <c r="D68" i="16"/>
  <c r="C68" i="16"/>
  <c r="B68" i="16"/>
  <c r="I67" i="16"/>
  <c r="G67" i="16"/>
  <c r="F67" i="16"/>
  <c r="D67" i="16"/>
  <c r="C67" i="16"/>
  <c r="B67" i="16"/>
  <c r="I66" i="16"/>
  <c r="G66" i="16"/>
  <c r="F66" i="16"/>
  <c r="D66" i="16"/>
  <c r="C66" i="16"/>
  <c r="B66" i="16"/>
  <c r="I65" i="16"/>
  <c r="G65" i="16"/>
  <c r="F65" i="16"/>
  <c r="D65" i="16"/>
  <c r="C65" i="16"/>
  <c r="B65" i="16"/>
  <c r="I64" i="16"/>
  <c r="G64" i="16"/>
  <c r="F64" i="16"/>
  <c r="D64" i="16"/>
  <c r="C64" i="16"/>
  <c r="B64" i="16"/>
  <c r="I63" i="16"/>
  <c r="G63" i="16"/>
  <c r="F63" i="16"/>
  <c r="D63" i="16"/>
  <c r="C63" i="16"/>
  <c r="B63" i="16"/>
  <c r="I62" i="16"/>
  <c r="G62" i="16"/>
  <c r="F62" i="16"/>
  <c r="D62" i="16"/>
  <c r="C62" i="16"/>
  <c r="B62" i="16"/>
  <c r="I61" i="16"/>
  <c r="G61" i="16"/>
  <c r="F61" i="16"/>
  <c r="D61" i="16"/>
  <c r="C61" i="16"/>
  <c r="B61" i="16"/>
  <c r="I60" i="16"/>
  <c r="G60" i="16"/>
  <c r="F60" i="16"/>
  <c r="D60" i="16"/>
  <c r="C60" i="16"/>
  <c r="B60" i="16"/>
  <c r="I59" i="16"/>
  <c r="G59" i="16"/>
  <c r="F59" i="16"/>
  <c r="D59" i="16"/>
  <c r="C59" i="16"/>
  <c r="B59" i="16"/>
  <c r="I58" i="16"/>
  <c r="G58" i="16"/>
  <c r="F58" i="16"/>
  <c r="D58" i="16"/>
  <c r="C58" i="16"/>
  <c r="B58" i="16"/>
  <c r="I57" i="16"/>
  <c r="G57" i="16"/>
  <c r="F57" i="16"/>
  <c r="D57" i="16"/>
  <c r="C57" i="16"/>
  <c r="B57" i="16"/>
  <c r="I56" i="16"/>
  <c r="G56" i="16"/>
  <c r="F56" i="16"/>
  <c r="D56" i="16"/>
  <c r="C56" i="16"/>
  <c r="B56" i="16"/>
  <c r="I55" i="16"/>
  <c r="G55" i="16"/>
  <c r="F55" i="16"/>
  <c r="D55" i="16"/>
  <c r="C55" i="16"/>
  <c r="B55" i="16"/>
  <c r="I54" i="16"/>
  <c r="G54" i="16"/>
  <c r="F54" i="16"/>
  <c r="D54" i="16"/>
  <c r="C54" i="16"/>
  <c r="B54" i="16"/>
  <c r="I53" i="16"/>
  <c r="G53" i="16"/>
  <c r="F53" i="16"/>
  <c r="D53" i="16"/>
  <c r="C53" i="16"/>
  <c r="B53" i="16"/>
  <c r="I52" i="16"/>
  <c r="G52" i="16"/>
  <c r="F52" i="16"/>
  <c r="D52" i="16"/>
  <c r="C52" i="16"/>
  <c r="B52" i="16"/>
  <c r="I51" i="16"/>
  <c r="G51" i="16"/>
  <c r="F51" i="16"/>
  <c r="D51" i="16"/>
  <c r="C51" i="16"/>
  <c r="B51" i="16"/>
  <c r="I50" i="16"/>
  <c r="G50" i="16"/>
  <c r="F50" i="16"/>
  <c r="D50" i="16"/>
  <c r="C50" i="16"/>
  <c r="B50" i="16"/>
  <c r="I49" i="16"/>
  <c r="G49" i="16"/>
  <c r="F49" i="16"/>
  <c r="D49" i="16"/>
  <c r="C49" i="16"/>
  <c r="B49" i="16"/>
  <c r="I48" i="16"/>
  <c r="G48" i="16"/>
  <c r="F48" i="16"/>
  <c r="D48" i="16"/>
  <c r="C48" i="16"/>
  <c r="B48" i="16"/>
  <c r="I47" i="16"/>
  <c r="G47" i="16"/>
  <c r="F47" i="16"/>
  <c r="D47" i="16"/>
  <c r="C47" i="16"/>
  <c r="B47" i="16"/>
  <c r="I46" i="16"/>
  <c r="G46" i="16"/>
  <c r="F46" i="16"/>
  <c r="D46" i="16"/>
  <c r="C46" i="16"/>
  <c r="B46" i="16"/>
  <c r="I45" i="16"/>
  <c r="G45" i="16"/>
  <c r="F45" i="16"/>
  <c r="D45" i="16"/>
  <c r="C45" i="16"/>
  <c r="B45" i="16"/>
  <c r="I44" i="16"/>
  <c r="G44" i="16"/>
  <c r="F44" i="16"/>
  <c r="D44" i="16"/>
  <c r="C44" i="16"/>
  <c r="B44" i="16"/>
  <c r="I43" i="16"/>
  <c r="G43" i="16"/>
  <c r="F43" i="16"/>
  <c r="D43" i="16"/>
  <c r="C43" i="16"/>
  <c r="B43" i="16"/>
  <c r="I42" i="16"/>
  <c r="G42" i="16"/>
  <c r="F42" i="16"/>
  <c r="D42" i="16"/>
  <c r="C42" i="16"/>
  <c r="B42" i="16"/>
  <c r="I41" i="16"/>
  <c r="G41" i="16"/>
  <c r="F41" i="16"/>
  <c r="D41" i="16"/>
  <c r="C41" i="16"/>
  <c r="B41" i="16"/>
  <c r="I40" i="16"/>
  <c r="G40" i="16"/>
  <c r="F40" i="16"/>
  <c r="D40" i="16"/>
  <c r="C40" i="16"/>
  <c r="B40" i="16"/>
  <c r="I39" i="16"/>
  <c r="G39" i="16"/>
  <c r="F39" i="16"/>
  <c r="D39" i="16"/>
  <c r="C39" i="16"/>
  <c r="B39" i="16"/>
  <c r="I38" i="16"/>
  <c r="G38" i="16"/>
  <c r="F38" i="16"/>
  <c r="D38" i="16"/>
  <c r="C38" i="16"/>
  <c r="B38" i="16"/>
  <c r="I37" i="16"/>
  <c r="G37" i="16"/>
  <c r="F37" i="16"/>
  <c r="D37" i="16"/>
  <c r="C37" i="16"/>
  <c r="B37" i="16"/>
  <c r="I36" i="16"/>
  <c r="G36" i="16"/>
  <c r="F36" i="16"/>
  <c r="D36" i="16"/>
  <c r="C36" i="16"/>
  <c r="B36" i="16"/>
  <c r="I35" i="16"/>
  <c r="G35" i="16"/>
  <c r="F35" i="16"/>
  <c r="D35" i="16"/>
  <c r="C35" i="16"/>
  <c r="B35" i="16"/>
  <c r="I34" i="16"/>
  <c r="G34" i="16"/>
  <c r="F34" i="16"/>
  <c r="D34" i="16"/>
  <c r="C34" i="16"/>
  <c r="B34" i="16"/>
  <c r="I33" i="16"/>
  <c r="G33" i="16"/>
  <c r="F33" i="16"/>
  <c r="D33" i="16"/>
  <c r="C33" i="16"/>
  <c r="B33" i="16"/>
  <c r="I32" i="16"/>
  <c r="G32" i="16"/>
  <c r="F32" i="16"/>
  <c r="D32" i="16"/>
  <c r="C32" i="16"/>
  <c r="B32" i="16"/>
  <c r="I31" i="16"/>
  <c r="G31" i="16"/>
  <c r="F31" i="16"/>
  <c r="D31" i="16"/>
  <c r="C31" i="16"/>
  <c r="B31" i="16"/>
  <c r="I30" i="16"/>
  <c r="G30" i="16"/>
  <c r="F30" i="16"/>
  <c r="D30" i="16"/>
  <c r="C30" i="16"/>
  <c r="B30" i="16"/>
  <c r="I29" i="16"/>
  <c r="G29" i="16"/>
  <c r="F29" i="16"/>
  <c r="D29" i="16"/>
  <c r="C29" i="16"/>
  <c r="B29" i="16"/>
  <c r="I28" i="16"/>
  <c r="G28" i="16"/>
  <c r="F28" i="16"/>
  <c r="D28" i="16"/>
  <c r="C28" i="16"/>
  <c r="B28" i="16"/>
  <c r="I27" i="16"/>
  <c r="G27" i="16"/>
  <c r="F27" i="16"/>
  <c r="D27" i="16"/>
  <c r="C27" i="16"/>
  <c r="B27" i="16"/>
  <c r="I26" i="16"/>
  <c r="G26" i="16"/>
  <c r="F26" i="16"/>
  <c r="D26" i="16"/>
  <c r="C26" i="16"/>
  <c r="B26" i="16"/>
  <c r="I25" i="16"/>
  <c r="G25" i="16"/>
  <c r="F25" i="16"/>
  <c r="D25" i="16"/>
  <c r="C25" i="16"/>
  <c r="B25" i="16"/>
  <c r="I24" i="16"/>
  <c r="G24" i="16"/>
  <c r="F24" i="16"/>
  <c r="D24" i="16"/>
  <c r="C24" i="16"/>
  <c r="B24" i="16"/>
  <c r="I23" i="16"/>
  <c r="G23" i="16"/>
  <c r="F23" i="16"/>
  <c r="D23" i="16"/>
  <c r="C23" i="16"/>
  <c r="B23" i="16"/>
  <c r="I22" i="16"/>
  <c r="G22" i="16"/>
  <c r="F22" i="16"/>
  <c r="D22" i="16"/>
  <c r="C22" i="16"/>
  <c r="B22" i="16"/>
  <c r="I21" i="16"/>
  <c r="G21" i="16"/>
  <c r="F21" i="16"/>
  <c r="D21" i="16"/>
  <c r="C21" i="16"/>
  <c r="B21" i="16"/>
  <c r="I20" i="16"/>
  <c r="G20" i="16"/>
  <c r="F20" i="16"/>
  <c r="D20" i="16"/>
  <c r="C20" i="16"/>
  <c r="B20" i="16"/>
  <c r="I19" i="16"/>
  <c r="G19" i="16"/>
  <c r="F19" i="16"/>
  <c r="D19" i="16"/>
  <c r="C19" i="16"/>
  <c r="B19" i="16"/>
  <c r="I18" i="16"/>
  <c r="G18" i="16"/>
  <c r="F18" i="16"/>
  <c r="D18" i="16"/>
  <c r="C18" i="16"/>
  <c r="B18" i="16"/>
  <c r="I17" i="16"/>
  <c r="G17" i="16"/>
  <c r="F17" i="16"/>
  <c r="D17" i="16"/>
  <c r="C17" i="16"/>
  <c r="B17" i="16"/>
  <c r="I16" i="16"/>
  <c r="G16" i="16"/>
  <c r="F16" i="16"/>
  <c r="D16" i="16"/>
  <c r="C16" i="16"/>
  <c r="B16" i="16"/>
  <c r="I15" i="16"/>
  <c r="G15" i="16"/>
  <c r="F15" i="16"/>
  <c r="D15" i="16"/>
  <c r="C15" i="16"/>
  <c r="B15" i="16"/>
  <c r="I14" i="16"/>
  <c r="G14" i="16"/>
  <c r="F14" i="16"/>
  <c r="D14" i="16"/>
  <c r="C14" i="16"/>
  <c r="B14" i="16"/>
  <c r="I13" i="16"/>
  <c r="G13" i="16"/>
  <c r="F13" i="16"/>
  <c r="D13" i="16"/>
  <c r="C13" i="16"/>
  <c r="B13" i="16"/>
  <c r="I12" i="16"/>
  <c r="G12" i="16"/>
  <c r="F12" i="16"/>
  <c r="D12" i="16"/>
  <c r="C12" i="16"/>
  <c r="B12" i="16"/>
  <c r="I11" i="16"/>
  <c r="G11" i="16"/>
  <c r="F11" i="16"/>
  <c r="D11" i="16"/>
  <c r="C11" i="16"/>
  <c r="B11" i="16"/>
  <c r="I10" i="16"/>
  <c r="G10" i="16"/>
  <c r="F10" i="16"/>
  <c r="D10" i="16"/>
  <c r="C10" i="16"/>
  <c r="B10" i="16"/>
  <c r="I9" i="16"/>
  <c r="G9" i="16"/>
  <c r="F9" i="16"/>
  <c r="D9" i="16"/>
  <c r="C9" i="16"/>
  <c r="B9" i="16"/>
  <c r="I8" i="16"/>
  <c r="G8" i="16"/>
  <c r="F8" i="16"/>
  <c r="D8" i="16"/>
  <c r="C8" i="16"/>
  <c r="B8" i="16"/>
  <c r="I7" i="16"/>
  <c r="G7" i="16"/>
  <c r="F7" i="16"/>
  <c r="D7" i="16"/>
  <c r="C7" i="16"/>
  <c r="B7" i="16"/>
  <c r="I6" i="16"/>
  <c r="G6" i="16"/>
  <c r="F6" i="16"/>
  <c r="D6" i="16"/>
  <c r="C6" i="16"/>
  <c r="B6" i="16"/>
  <c r="I5" i="16"/>
  <c r="G5" i="16"/>
  <c r="F5" i="16"/>
  <c r="D5" i="16"/>
  <c r="C5" i="16"/>
  <c r="B5" i="16"/>
  <c r="I4" i="16"/>
  <c r="G4" i="16"/>
  <c r="F4" i="16"/>
  <c r="D4" i="16"/>
  <c r="C4" i="16"/>
  <c r="B4" i="16"/>
</calcChain>
</file>

<file path=xl/sharedStrings.xml><?xml version="1.0" encoding="utf-8"?>
<sst xmlns="http://schemas.openxmlformats.org/spreadsheetml/2006/main" count="3023" uniqueCount="414">
  <si>
    <t>12Х2НВФА</t>
  </si>
  <si>
    <t>30ХМА</t>
  </si>
  <si>
    <t>38Х2Н2МА</t>
  </si>
  <si>
    <t>20ХГСА</t>
  </si>
  <si>
    <t>38ХН3МФА</t>
  </si>
  <si>
    <t>12ХН3А</t>
  </si>
  <si>
    <t xml:space="preserve"> </t>
  </si>
  <si>
    <t>60С2А</t>
  </si>
  <si>
    <t>Профиль</t>
  </si>
  <si>
    <t>Круг</t>
  </si>
  <si>
    <t>Труба</t>
  </si>
  <si>
    <t>Квадрат</t>
  </si>
  <si>
    <t>35Х3НМ</t>
  </si>
  <si>
    <t>7Х3</t>
  </si>
  <si>
    <t>Лист</t>
  </si>
  <si>
    <t>65Г</t>
  </si>
  <si>
    <t>45ХН2МФА</t>
  </si>
  <si>
    <t>У8А</t>
  </si>
  <si>
    <t>Марка</t>
  </si>
  <si>
    <t>Ост.,т</t>
  </si>
  <si>
    <t>Полоса</t>
  </si>
  <si>
    <t>20Х13</t>
  </si>
  <si>
    <t>245х30</t>
  </si>
  <si>
    <t>Размер, мм</t>
  </si>
  <si>
    <t>ОХН1М</t>
  </si>
  <si>
    <t>Лента</t>
  </si>
  <si>
    <t>Шестигранник</t>
  </si>
  <si>
    <t>ОХН3МФА</t>
  </si>
  <si>
    <t>07Х3ГНМЮА</t>
  </si>
  <si>
    <t>25Х2Н4МА</t>
  </si>
  <si>
    <t>Поковка</t>
  </si>
  <si>
    <t>ГОСТ, ТУ</t>
  </si>
  <si>
    <t>Склад</t>
  </si>
  <si>
    <t>196х38</t>
  </si>
  <si>
    <t>госрезерв</t>
  </si>
  <si>
    <t>12Х2НВФА-ВД</t>
  </si>
  <si>
    <t>11269-76, 19903-74</t>
  </si>
  <si>
    <t>11268-76, 19903-74</t>
  </si>
  <si>
    <t>14-1-950-86</t>
  </si>
  <si>
    <t>304L(03Х18Н11)</t>
  </si>
  <si>
    <t>4543-71, 2590-2006</t>
  </si>
  <si>
    <t>08Х15Н5Д2Т-Ш(ЭП410-Ш)</t>
  </si>
  <si>
    <t>0,7х4,0</t>
  </si>
  <si>
    <t>х/к</t>
  </si>
  <si>
    <t>0,7х2,5</t>
  </si>
  <si>
    <t>14-1-950-86, отж., 2гр, ТП</t>
  </si>
  <si>
    <t>30ХГСА</t>
  </si>
  <si>
    <t>ТУ 14-1-4058-06, отж., 1гр</t>
  </si>
  <si>
    <t>20Х12Н2Г</t>
  </si>
  <si>
    <t>14-1-4058-2006, 1гр., обт., т/о,УЗК, 2590-06, 3-6м</t>
  </si>
  <si>
    <t>14-1-950-86, АТП</t>
  </si>
  <si>
    <t>4543-71</t>
  </si>
  <si>
    <t>14-1-950-86, 2гр, отж.,  ТП</t>
  </si>
  <si>
    <t>аналог 38х2н2ма</t>
  </si>
  <si>
    <t>круг</t>
  </si>
  <si>
    <t>08Х18Н10Т</t>
  </si>
  <si>
    <t>МО,г. Апрелевка</t>
  </si>
  <si>
    <t>Примечание</t>
  </si>
  <si>
    <t>Петросталь</t>
  </si>
  <si>
    <t>Завод-изготовитель</t>
  </si>
  <si>
    <t>Серов</t>
  </si>
  <si>
    <t>Ижсталь</t>
  </si>
  <si>
    <t>ВМК "КО"</t>
  </si>
  <si>
    <t>Златоуст</t>
  </si>
  <si>
    <t>Мечел,ВМК "КО"</t>
  </si>
  <si>
    <t>30ХМА-Ш</t>
  </si>
  <si>
    <t>Отвод</t>
  </si>
  <si>
    <t>104х2,0</t>
  </si>
  <si>
    <t>25Х1МФ</t>
  </si>
  <si>
    <t>ХН78Т</t>
  </si>
  <si>
    <t>14Х17Н2</t>
  </si>
  <si>
    <t>14-1-4492-88, 5949-75</t>
  </si>
  <si>
    <t xml:space="preserve"> 13Х15Н4АМ3-Ш (ЭП310-Ш)</t>
  </si>
  <si>
    <t xml:space="preserve"> 12Х18Н9 (калиброванный)</t>
  </si>
  <si>
    <t xml:space="preserve"> 12Х18Н10Т-ВД (калиброванный)</t>
  </si>
  <si>
    <t>ТУ 14-1-3957-85 ГОСТ 8560-78, h11, РТ-Техприемка</t>
  </si>
  <si>
    <t>ТУ 14-1-3581-83 ГОСТ 8560-78,h12, РТ-Техприемка</t>
  </si>
  <si>
    <t xml:space="preserve"> ХН55МБЮ-ВД (ЭП666-ВД)( кованый)</t>
  </si>
  <si>
    <t>ТУ 14-1-2606-79 ГОСТ 22411-77, обточ, УЗК, РТ-Техприемка</t>
  </si>
  <si>
    <t>ХВФ</t>
  </si>
  <si>
    <t>ТП ЗЭМЗ 569-2014, ГОСТ 5949-75, ГОСТ 2590-06, УЗК, для АЭС</t>
  </si>
  <si>
    <t>ЦЕНА с НДС, р/т</t>
  </si>
  <si>
    <t>ТУ 14-1-4058-06, отж.</t>
  </si>
  <si>
    <t>Петросталь, ЗКО</t>
  </si>
  <si>
    <t>Аша</t>
  </si>
  <si>
    <t>ВМК"КО"</t>
  </si>
  <si>
    <t>резерв</t>
  </si>
  <si>
    <t>ГОСТ 4543-71, 2590-2006</t>
  </si>
  <si>
    <t>ШХ15</t>
  </si>
  <si>
    <t>ГОСТ 801-78, ГОСТ 2590-2006</t>
  </si>
  <si>
    <t>20ХГР</t>
  </si>
  <si>
    <t>12Х18Н10Т-ВД</t>
  </si>
  <si>
    <t>ГОСТ 8560-78, ТУ 14-1-3581-83</t>
  </si>
  <si>
    <t>3,5х90</t>
  </si>
  <si>
    <t>ТУ 14-1-911-74</t>
  </si>
  <si>
    <t>Электросталь</t>
  </si>
  <si>
    <t>ДСС</t>
  </si>
  <si>
    <t>4543-2016, 2590-2006, 1ГП, обт., РТ-Техприемка</t>
  </si>
  <si>
    <t>4543-2016, 2ГП,без т/о, 2590, В1,IV, н/д</t>
  </si>
  <si>
    <t>ГОСТ 11268, ГОСТ 19904</t>
  </si>
  <si>
    <t>14-1-3370-82, 19903</t>
  </si>
  <si>
    <t>4543-2016, 3ГП, отж., 2590-2006, В1, IV кл крив, н/д</t>
  </si>
  <si>
    <t>8479-70 грll</t>
  </si>
  <si>
    <t>11269-76, 19903-74, РТ-Техприемка</t>
  </si>
  <si>
    <t>4543-2016, 2590-2006, 2ГП. Отж., н/д, В1</t>
  </si>
  <si>
    <t>х/к,    ???????</t>
  </si>
  <si>
    <t>14-1-3370-2006, АТП</t>
  </si>
  <si>
    <t>ТУ 14-550-6-94, отж</t>
  </si>
  <si>
    <t>14-1-950-86, 2гр, отж.РТТ</t>
  </si>
  <si>
    <t>40ХФА</t>
  </si>
  <si>
    <t>ГОСТ 4543-2016, 7566-2018, РТТ</t>
  </si>
  <si>
    <t>0,4х400</t>
  </si>
  <si>
    <t>0,4х330</t>
  </si>
  <si>
    <t>0,5х330</t>
  </si>
  <si>
    <t>12Х18Н9</t>
  </si>
  <si>
    <t>Серп и молот</t>
  </si>
  <si>
    <t>ТУ 14-1-4058-06, отж., 2гр</t>
  </si>
  <si>
    <t>120х330</t>
  </si>
  <si>
    <t>4543-71, отж.,3гп</t>
  </si>
  <si>
    <t>4543-2016, 3гр, 2590</t>
  </si>
  <si>
    <t>4543-71, отж.,2гп</t>
  </si>
  <si>
    <t>14-1-950-86, отж., 2гр, обт.,ТП, УЗК</t>
  </si>
  <si>
    <t>ТУ 14-1-2907-2019, т/о, травл РТТ</t>
  </si>
  <si>
    <t>08Х18Н10</t>
  </si>
  <si>
    <t>0,2х380</t>
  </si>
  <si>
    <t>ТУ 14-1-3238, 2ГП, 2590, РТ-Техприемка</t>
  </si>
  <si>
    <t>ТУ 14-1-3238, 2ГП, 2590,  РТ-Техприемка</t>
  </si>
  <si>
    <t>ГОСТ 4543-2016, 2590-2006, 2гп, отж</t>
  </si>
  <si>
    <t>ГОСТ 4543-2016, 2590-2006, 2гп</t>
  </si>
  <si>
    <t>14-1-1671-76,22411-77,н/д, кованый</t>
  </si>
  <si>
    <t>ТУ 14-1-1671-76 ГОСТ 22411-77, обт, 2гр, подгр а, РТТ</t>
  </si>
  <si>
    <t>14-1-950-86, 2гп, обт</t>
  </si>
  <si>
    <t>8479-70, гр.II, обточка, УЗК ГОСТ 24507 гр 4n, АЭС кл без 3</t>
  </si>
  <si>
    <t>4543-2016, 2гп, обточ, отж, НВК. УЗК</t>
  </si>
  <si>
    <t>ТУ 14-1-4058-06, отж., 1гр, обт.,УЗК, РТ-Техприемка</t>
  </si>
  <si>
    <t>ГОСТ 4543-2016, 2ГП, обточ., отж., контр  НМВ 2590-2006, н/д</t>
  </si>
  <si>
    <t>510х60</t>
  </si>
  <si>
    <t>4543-2016, 2590-2006, 2ГП,  РТ-Техприемка</t>
  </si>
  <si>
    <t>14-1-3370-2006, 19904-90</t>
  </si>
  <si>
    <t>ТУ 14-1-4058-06,б/ отж., 2гп,  РТ-Техприемка</t>
  </si>
  <si>
    <t>ИЖСТАЛЬ</t>
  </si>
  <si>
    <t>4543-71, отж., 2гп</t>
  </si>
  <si>
    <t>14-1-3370-2006, РТТ</t>
  </si>
  <si>
    <t>ГОСТ 4543-16, 2ГП, отж., 2590-06, В1, IV кл. кр.</t>
  </si>
  <si>
    <t>4543-2016, 2590-2006, 2ГП, обточ. Отж., УЗК, НВК, РТТ</t>
  </si>
  <si>
    <t>ГОСТ 4986-79, М-НО-НТ, 3В</t>
  </si>
  <si>
    <t>ГОСТ 4986-79, М-НО-НТ, 3В, АТП</t>
  </si>
  <si>
    <t>4543-2016,3ГП,без т/о, 2590, В1,IV, н/д</t>
  </si>
  <si>
    <t>14-1-3370-2006, 19903-74, РТТ</t>
  </si>
  <si>
    <t>4543-2016,3ГП,обт.,  т/о, 2590, В1,IV, н/д</t>
  </si>
  <si>
    <t>4543-2016, 2ГП, отж, 2590-2006, В1, н/д</t>
  </si>
  <si>
    <t>4543-2016,3ГП, т/о,НМВК, 2590, В1,IV, н/д</t>
  </si>
  <si>
    <t>14-1-4058-2006, 2ГП, обточ, т/о, 2590-2006, В1, УЗК, КНВ, РТТ</t>
  </si>
  <si>
    <t>4543-2016,2гп., обт,  т/о,2590, контр немет включ,УЗК, РТТ</t>
  </si>
  <si>
    <t>4543-2016,2гп. обт, т/о,2590, контр немет включ,УЗК, РТТ</t>
  </si>
  <si>
    <t>4543-2016, 2 гр, 2590, УЗК, КНВ</t>
  </si>
  <si>
    <t>26Х2НВМБР-Ш (КВК26-Ш)</t>
  </si>
  <si>
    <t>12Х21Н5Т (ЭИ811)</t>
  </si>
  <si>
    <t>без сертификата</t>
  </si>
  <si>
    <t>ТУ 14-1-1283-75 ГОСТ 2590-2006, без сертификата</t>
  </si>
  <si>
    <t>ТУ 14-1-3564-83 ГОСТ 2590-88, без серт</t>
  </si>
  <si>
    <t>ОХН3МА-Ш</t>
  </si>
  <si>
    <t>45ХН2МФА-Ш</t>
  </si>
  <si>
    <t>ТУ 14-1-1725-76, 1ГП, обточ, от+в.отп, 2590-2006</t>
  </si>
  <si>
    <t>ГОСТ 4543-2016, 2ГП, обточ., отж.,  2590-2006, н/д. РТТ</t>
  </si>
  <si>
    <t>4543-2016, 3ГП, н/о, 2590-2006, В2</t>
  </si>
  <si>
    <t>20072-74, подгр а, т/о 2590-2006</t>
  </si>
  <si>
    <t>4543-2016, 2ГП,н/о, контр немет, 2590, В1,IV, н/д</t>
  </si>
  <si>
    <t>ТУ- 14-1-950-86, 2ГП-ТО, РТТ</t>
  </si>
  <si>
    <t>4543-2016, 2590-2006, 3ГП, то, НВК, РТТ</t>
  </si>
  <si>
    <t>4543-2016, 2590-2006, 3ГП, то, НВК</t>
  </si>
  <si>
    <t>ТУ 14-1-4058-06,б/ отж., 2гп,обт.</t>
  </si>
  <si>
    <t>08Х21Н6М2Т ( ЭП54)</t>
  </si>
  <si>
    <t>ТУ 14-1-2264-77, 2ГП, обт., отж, ГОСТ 2590-06, УЗК, РТТ</t>
  </si>
  <si>
    <t>07Х16Н6</t>
  </si>
  <si>
    <t>14-1-950-86, отж., 2ГП, НМВ, РТТ</t>
  </si>
  <si>
    <t>14-1-950-86, отж., 2ГП, НМВ,УЗК, РТТ</t>
  </si>
  <si>
    <t>4543-2016, 2ГП, УЗК, НМВ</t>
  </si>
  <si>
    <t>Серов, Ижсталь</t>
  </si>
  <si>
    <t>ТУ 14-1-4058-06, 2гп, отж, РТТ</t>
  </si>
  <si>
    <t>14-1-950-86, АТП, обт.</t>
  </si>
  <si>
    <t>ТУ 14-1-3957-85 ГОСТ 8560-78, без сертификата</t>
  </si>
  <si>
    <t xml:space="preserve"> Петросталь</t>
  </si>
  <si>
    <t>ТУ 14-1-4058-06, отж.2гп</t>
  </si>
  <si>
    <t>4543-2016, 2ГП, т/о, 2590, В1,IV, н/д</t>
  </si>
  <si>
    <t>4543-2016,2ГП, т/о, 2590, В1,IV, н/д</t>
  </si>
  <si>
    <t>4543-2016, 2ГП,т/о, 2590, В1,IV, н/д</t>
  </si>
  <si>
    <t>4543-2016,2гп., н/о,2590, контр немет включ,УЗК</t>
  </si>
  <si>
    <t>12Х18Н10Т</t>
  </si>
  <si>
    <t>ГОСТ 4543-2016, 3ГП, 2590-2006</t>
  </si>
  <si>
    <t>ТУ 14-1-1409-2018, ГОСТ 4543-2016, 19903-2015, отж</t>
  </si>
  <si>
    <t>ТС 132-35-2023, ГОСТ 4543-2016 19903-2015, отж</t>
  </si>
  <si>
    <t>МО, г. Апрелевка</t>
  </si>
  <si>
    <t>ГОСТ 4543-2016, 2ГП,  отж.,  2590-2006, н/д. РТТ</t>
  </si>
  <si>
    <t>14-1-3370-2006, 19903-75, РТТ</t>
  </si>
  <si>
    <t>26Х2НВМБР (КВК26)</t>
  </si>
  <si>
    <t>ГОСТ 4543-2016, 2ГП, обточ., отж., контр  НМВ 2590-2006, н/д, РТТ</t>
  </si>
  <si>
    <t>ТУ 14-1-4058-06, отж., 2гп, РТТ</t>
  </si>
  <si>
    <t>ГОСТ 4543-2016, 2590-2006, 2гп,отж, РТТ</t>
  </si>
  <si>
    <t>ЗКО</t>
  </si>
  <si>
    <t>ТУ- 14-1-950-86, 2ГП-ТО, ГОСТ 2590-2006, РТТ</t>
  </si>
  <si>
    <t>ТУ- 14-1-950-86, 3ГП-ТО, ГОСТ 2590-2006, РТТ</t>
  </si>
  <si>
    <t>ГОСТ 4543-16, 2ГП, отж., 2590-06, В1, НМВ, IV кл. кр.</t>
  </si>
  <si>
    <t>ГОСТ 4543-16, 3ГП,обт., отж., 2590-06, В1, НМВ,IV кл. кр.</t>
  </si>
  <si>
    <t>Поковка необт</t>
  </si>
  <si>
    <t>ТУ 14-1-940-74, гр б (ГОСТ 5949-75), отж, 2590-2006, В1, УЗК, РТТ</t>
  </si>
  <si>
    <t>4543-2016, 2гп., т/о,2590</t>
  </si>
  <si>
    <t>14-1-3370-2006, 19903-2015, отж, трав, промасл</t>
  </si>
  <si>
    <t>Северсталь</t>
  </si>
  <si>
    <t>Поковка обточ</t>
  </si>
  <si>
    <t>Рязань</t>
  </si>
  <si>
    <t>Мотовилиха</t>
  </si>
  <si>
    <t>4543-2016, 2590-2006, 2ГП, обт., УЗК, РТ-Техприемка</t>
  </si>
  <si>
    <t>4543-2016, 2гп, обт., 2590-2006, отж,  контр немет</t>
  </si>
  <si>
    <t>ГОСТ 5949-75 ГОСТ 2590-2006</t>
  </si>
  <si>
    <t>4543-2016, 2ГП, обт., ТО,  НМВ, 2590-2006, IVкл кр, к/д 1,6м, РТТ</t>
  </si>
  <si>
    <t>Россия</t>
  </si>
  <si>
    <t>3ГП, отж</t>
  </si>
  <si>
    <t>07Х25Н16АГ6Ф-Ш (ЭП750-Ш)</t>
  </si>
  <si>
    <t>14-1-3370-2006, 19903-2015, отж, трав, промасл, РТТ</t>
  </si>
  <si>
    <t>4543-2016, 2590-2006, 2ГП, обт., ТО, НМВ,УЗК, РТ-Техприемка</t>
  </si>
  <si>
    <t>Куб</t>
  </si>
  <si>
    <t>340х450</t>
  </si>
  <si>
    <t>14-1-4058-2006, 2ГП,  2590-2006, В1, УЗК, КНВ, РТТ</t>
  </si>
  <si>
    <t>4543-2016,3ГП, т/о, 2590, В1,IV, н/д</t>
  </si>
  <si>
    <t>ТУ 14-1-4058-06, отж., 2гп, НМВ, УЗК, РТТ</t>
  </si>
  <si>
    <t>4543-71, отж., 3гп,  контр немет вкл, РТТ</t>
  </si>
  <si>
    <t>4543-2016, 3ГП, отж, НМВ, 2590</t>
  </si>
  <si>
    <t>4543-2016,3ГП., т/о,2590, контр немет включ, РТТ</t>
  </si>
  <si>
    <t>4543-2016,3ГП, т/о,2590, НМВ, РТТ</t>
  </si>
  <si>
    <t>4543-2016, 3гп., т/о,2590, контр немет включ, РТТ</t>
  </si>
  <si>
    <t>4543-2016, 2590-2006, 3ГП,отж.,НМВ,  РТ-Техприемка</t>
  </si>
  <si>
    <t>4543-2016, ТУ 14-1-2118-98, 3ГП, отж, НВК, РТТ</t>
  </si>
  <si>
    <t>4543-2016, 2590-2006, 2ГП,  НМВ, РТ-Техприемка</t>
  </si>
  <si>
    <t>4543-2016, 3ГП, отж, НМВ, 2590, РТТ</t>
  </si>
  <si>
    <t>4543-2016, 3ГП, отж, НМВ, 2590, РТТ, ТУ 14-1-2118-98</t>
  </si>
  <si>
    <t>ТУ 14-1-2264-77, 2ГП, отж., обт., ГОСТ 2590-2006, РТТ</t>
  </si>
  <si>
    <t>4543-2016,2гп.,т/о,2590, контр немет включ,УЗК, РТТ, рт-приемка</t>
  </si>
  <si>
    <t>30ХГСН2А</t>
  </si>
  <si>
    <t>ГОСТ 4543-2016, 2ГП, отж, ГОСТ 2590-2006</t>
  </si>
  <si>
    <t>ТУ 14-1-950-86 , 2ГП, отж., ГОСТ 2590-2006</t>
  </si>
  <si>
    <t>ГОСТ 4543-16, 2ГП, отж., 2590-06, В1, IV кл. кр.,КНВ</t>
  </si>
  <si>
    <t>ГОСТ 4543-16, 3ГП, отж., 2590-06, В1, НМВ, IV кл. кр.</t>
  </si>
  <si>
    <t>14-1-950-86, отж., 2ГП, обт, РТТ</t>
  </si>
  <si>
    <t>11269-76, кат.5, 19903 , Б-О, отж, пром., РТТ</t>
  </si>
  <si>
    <t>11269-76, кат.3, подгр б, отж, травл, промасл., 19903-15, РТТ</t>
  </si>
  <si>
    <t>20х2</t>
  </si>
  <si>
    <t>22х2</t>
  </si>
  <si>
    <t>Северный Кузнечно-механический завод</t>
  </si>
  <si>
    <t>8479-70,гр ll, т/о, м/о, УЗК</t>
  </si>
  <si>
    <t>ТУ 14-3-520-2005, Х/Т</t>
  </si>
  <si>
    <t>4543-2016, 2гп, отж, НВК. РТТ</t>
  </si>
  <si>
    <t>4543-2016, ТУ 14-1-2118-98, 3ГП, отж, к/д 1700мм, ГОСТ 2590-2006</t>
  </si>
  <si>
    <t>4543-2016, 2590-2006, 2ГП,., ТО, НМВ,УЗК, РТ-Техприемка</t>
  </si>
  <si>
    <t>4543-2016,2ГП,без т/о, 2590, В1,IV, н/д</t>
  </si>
  <si>
    <t>ТУ 14-1-1310-2015, РТТ</t>
  </si>
  <si>
    <t>4543-2016, 3ГП,б/то,  2590, В1,IV, н/д</t>
  </si>
  <si>
    <t>4543-2016, 2590-2006, 2ГП, в/о, НМВ, РТ-Техприемка</t>
  </si>
  <si>
    <t>4543-2016, 2590-2006, 2ГП, обт., отж.,  УЗК, РТТ</t>
  </si>
  <si>
    <t>ТУ 14-1-4058-06,отж., 2гп,  РТ-Техприемка</t>
  </si>
  <si>
    <t>14-1-950-86, отж., 2ГП, обт.</t>
  </si>
  <si>
    <t>14-1-950-86,в/о, 2ГП, НМВ, РТТ</t>
  </si>
  <si>
    <t>Мотовидиха</t>
  </si>
  <si>
    <t>Петросталь,ЗКО</t>
  </si>
  <si>
    <t>07Х16Н4Б-Ш</t>
  </si>
  <si>
    <t>13Х11Н2В2МФ-Ш (ЭИ961-Ш)</t>
  </si>
  <si>
    <t>ТУ 14-1-4229-2007, обт., отж, ГОСТ 2590-2006</t>
  </si>
  <si>
    <t>5,068т по ТУ 14-1-4229</t>
  </si>
  <si>
    <t xml:space="preserve">4,6т по ТУ </t>
  </si>
  <si>
    <t xml:space="preserve">ст 20 </t>
  </si>
  <si>
    <t>30х130</t>
  </si>
  <si>
    <t>ТУ 14-1-1660-76, 2ГП, обт., НМВ, ГОСТ 2590-2006, РТТ</t>
  </si>
  <si>
    <t>МО,г.Апрелевка</t>
  </si>
  <si>
    <t>14-1-3370-2006, 19903-2015, РТТ</t>
  </si>
  <si>
    <t>1300р/шт</t>
  </si>
  <si>
    <t>ц/т, г/д</t>
  </si>
  <si>
    <t>14-1-3297-82, ГОСТ 5949-2018 2590-2006, 2ГП, обточ, ож. РТТ,УЗК</t>
  </si>
  <si>
    <t>ТУ 14-1-1660-76, 2ГП, обт., НМВ, ГОСТ 2590-2006, РТТ,УЗК</t>
  </si>
  <si>
    <t>Марка стали</t>
  </si>
  <si>
    <t>30Х13</t>
  </si>
  <si>
    <t>ГОСТ 5949-2018, 2ГП, ТО ГОСТ 2590-2006</t>
  </si>
  <si>
    <t>07Х16Н6-Ш (ЭП288-Ш)</t>
  </si>
  <si>
    <t>4543-2016, 2590-2006</t>
  </si>
  <si>
    <t>07Х16Н6М-Ш</t>
  </si>
  <si>
    <t>ГОСТ 2590-2006,ТУ 14-136-372-2012,г/к,обточ.РТТ</t>
  </si>
  <si>
    <t>ГОСТ 8560-78,ТУ 14-136-371,калибр.H12, ТО</t>
  </si>
  <si>
    <t>ГОСТ 8560-78,ТУ 14-130-295-99,калибр.H12, ТО</t>
  </si>
  <si>
    <t>14-1-4492-2016, ГОСТ 5632-2014, отж.,РТТ</t>
  </si>
  <si>
    <t>Мечел</t>
  </si>
  <si>
    <t>БМЗ</t>
  </si>
  <si>
    <t>ГОСТ 4543-2016, 2590-2006, 2гп,ТО</t>
  </si>
  <si>
    <t>ГОСТ 4543-2016, 2590-2006, 2гп, РТТ</t>
  </si>
  <si>
    <t>Профмль</t>
  </si>
  <si>
    <t>Размер,мм</t>
  </si>
  <si>
    <t>Кол-во, тн.</t>
  </si>
  <si>
    <t>Цена руб./тн. С НДС</t>
  </si>
  <si>
    <t>38ХМ(А)</t>
  </si>
  <si>
    <t>1шт, ОСТ 125.13</t>
  </si>
  <si>
    <t>ГОСТ 5582-75, ГОСТ 19904-90, х/к М2а</t>
  </si>
  <si>
    <t>340х455</t>
  </si>
  <si>
    <t>340х445</t>
  </si>
  <si>
    <t>4543-2016, 2590-2006, 2ГП. Отж.,В1, IV класс кривизны, Н/Д , РТТ</t>
  </si>
  <si>
    <t>4543-2016, 2590-2006, 3ГП. Отж.,В1, , Н/Д , РТТ</t>
  </si>
  <si>
    <t>4543-2016, 2590-2006, 3ГП. Отж.,В1, Н/Д , РТТ</t>
  </si>
  <si>
    <t>4543-2016, ТУ 14-1-2118-98, 3ГП. Отж.,В1, Н/Д , РТТ</t>
  </si>
  <si>
    <t>ТУ 14-1-2186-77, ГОСТ 19904-90, РТТ</t>
  </si>
  <si>
    <t>12Х18Н10Т М</t>
  </si>
  <si>
    <t xml:space="preserve">12Х18Н10Т </t>
  </si>
  <si>
    <t>ГОСТ 7350-77, ГОСТ 19903-15</t>
  </si>
  <si>
    <t>ГОСТ 7350-77, ГОСТ 19903-15, РТТ</t>
  </si>
  <si>
    <t xml:space="preserve">ГОСТ 7350-77, ГОСТ 19903-15, </t>
  </si>
  <si>
    <t>х/к, ГОСТ 11268-76, ГОСТ 19904-90, РТТ</t>
  </si>
  <si>
    <t>ТУ 1411123-74, ГОСТ 19903-15, РТТ</t>
  </si>
  <si>
    <t>ТУ 14-1-2108-77, ГОСТ 19904-90, РТТ</t>
  </si>
  <si>
    <t>ГОСТ 1577-22, ГОСТ 19903-15</t>
  </si>
  <si>
    <t>ГОСТ 5582-75, ГОСТ 19903-15, РТТ</t>
  </si>
  <si>
    <t>г/к,  ГОСТ 11268-76, ГОСТ 19903-15,</t>
  </si>
  <si>
    <t>14-1-835-2014, 19904, РТТ</t>
  </si>
  <si>
    <t>4543-2016, 2 гр, 2590, КНВ,РТ-Приемка</t>
  </si>
  <si>
    <t>20Х23Н13</t>
  </si>
  <si>
    <t>1шт-190х1200, 100 шт.-70-95х930-970 (обрезь с листов)</t>
  </si>
  <si>
    <t>ГОСТ 4543-2016, 2590-2006,3ГП, отжиг, РТТ</t>
  </si>
  <si>
    <t>СиМ</t>
  </si>
  <si>
    <t>ММК</t>
  </si>
  <si>
    <t>11269-76, 19903-2015,РТТ</t>
  </si>
  <si>
    <t>11268-76, 19903-74, РТ-Техприемка</t>
  </si>
  <si>
    <t>ТУ 14-1-4229-2007, 2ГП, обточ., отж.,  2590-2006, н/д. РТТ,УЗК</t>
  </si>
  <si>
    <t>11268-76, 19903-2016,промасл.,  РТ-Техприемка</t>
  </si>
  <si>
    <t>11268-76, 19903-2016,промасл.,3б,  РТ-Техприемка</t>
  </si>
  <si>
    <t>ГОСТ 4543-16, 2ГП., 2590-06,</t>
  </si>
  <si>
    <t>14-1-950-86, отж., 2ГП,обточ., РТТ,УЗК</t>
  </si>
  <si>
    <t>07Х16Н6 (ЭП288)</t>
  </si>
  <si>
    <t>07Х16Н4Б</t>
  </si>
  <si>
    <t>г/к,  ГОСТ 11268-76, ГОСТ 19903-15</t>
  </si>
  <si>
    <t>ГОСТ 4543-2016, 2590-2006, обт.,ТО</t>
  </si>
  <si>
    <t>4543-2016, 2590-2006, 2ГП, в/о</t>
  </si>
  <si>
    <t>1ГП,УЗК</t>
  </si>
  <si>
    <t>ГОСТ 4543-2016, 2590-2006, отж.,2гп, РТТ</t>
  </si>
  <si>
    <t>ТУ 14-1-4229-2007, 1ГП, обточ., отж.,  2590-2006, н/д. РТТ,УЗК</t>
  </si>
  <si>
    <t>Петросталь/ЗКО</t>
  </si>
  <si>
    <t>14-1-3297-82, ГОСТ 5949-2018 2590-2006</t>
  </si>
  <si>
    <t>Длина раскрой м/мм.</t>
  </si>
  <si>
    <t>1000х2000</t>
  </si>
  <si>
    <t>1000х2750/2850</t>
  </si>
  <si>
    <t>1200/1500х5000/6000</t>
  </si>
  <si>
    <t>1500х6000</t>
  </si>
  <si>
    <t>1250х6000</t>
  </si>
  <si>
    <t>1500х5000/6000</t>
  </si>
  <si>
    <t>1500х4000/5000</t>
  </si>
  <si>
    <t>1000/1100х4000/4500</t>
  </si>
  <si>
    <t>1000/1100х3000/3600</t>
  </si>
  <si>
    <t>1000/1100х2800/3300</t>
  </si>
  <si>
    <t>800/900х3200/3700</t>
  </si>
  <si>
    <t>1500х3500/4500</t>
  </si>
  <si>
    <t>1250х2500</t>
  </si>
  <si>
    <t>1540х5580</t>
  </si>
  <si>
    <t>1200/1300х3000/4000</t>
  </si>
  <si>
    <t>1000/1000х4000/4500</t>
  </si>
  <si>
    <t>750х1500</t>
  </si>
  <si>
    <t>1500х3000</t>
  </si>
  <si>
    <t>1200/1300х3500/4000</t>
  </si>
  <si>
    <t>1000/1100х3500/4000</t>
  </si>
  <si>
    <t>800/1420</t>
  </si>
  <si>
    <t>1200х2000; 700х1430</t>
  </si>
  <si>
    <t>730х1600</t>
  </si>
  <si>
    <t>710х2000</t>
  </si>
  <si>
    <t>360х1480</t>
  </si>
  <si>
    <t>к/д 930</t>
  </si>
  <si>
    <t>к/д 1,69</t>
  </si>
  <si>
    <t>2,89-3,1; 2,0-6,0</t>
  </si>
  <si>
    <t>2,0-6,0</t>
  </si>
  <si>
    <t>0,45  2,175</t>
  </si>
  <si>
    <t>1,15;1,030;2,05;0,645;0,640</t>
  </si>
  <si>
    <t>1,35- 2,055</t>
  </si>
  <si>
    <t>в мотках( 600кг, 350кг, 82кг)</t>
  </si>
  <si>
    <t>2 шт.- 3,15м./3,79м.</t>
  </si>
  <si>
    <t>0,4м.-1м.</t>
  </si>
  <si>
    <t>2,98/3,9/3,95/остальные 3,7-3,9</t>
  </si>
  <si>
    <t>кри</t>
  </si>
  <si>
    <t>4,1/4,62</t>
  </si>
  <si>
    <t>х/т</t>
  </si>
  <si>
    <t>ОХН3МА</t>
  </si>
  <si>
    <t>1 шт. 3,29м./1шт. 2,77м.</t>
  </si>
  <si>
    <t>1 шт. 2,96м./1 шт. 2,71м.</t>
  </si>
  <si>
    <t>ГОСТ 1577-93, ГОСТ 19903-2015, ГОСТ 14959-2016</t>
  </si>
  <si>
    <t>дф</t>
  </si>
  <si>
    <t>ТУ 14-1-1602-75,ГОСТ 2590-2006-ГОСТ 7566-2018, отж., 2ГП,обточ., РТТ</t>
  </si>
  <si>
    <t>14-1-950-86, отж.,обточ., 2ГП, НМВ,</t>
  </si>
  <si>
    <t>4543-2016, 2гп, 2590-2006, без т/о</t>
  </si>
  <si>
    <t>38ХМ</t>
  </si>
  <si>
    <t>ТС 00186387-80-2018, ГОСТ 4543-2016, 1ГП,  отж.,  2590-2006, н/д. РТТ</t>
  </si>
  <si>
    <t>Склад завода</t>
  </si>
  <si>
    <t>в производстве</t>
  </si>
  <si>
    <t>ГОСТ 4543-2016, 2590-2006, 2гп, отж.,РТТ</t>
  </si>
  <si>
    <t>ГОСТ 4543-2016, 2590-2006,2ГП, отжиг, РТТ</t>
  </si>
  <si>
    <t>ГОСТ 4543-2016, 2590-2006,2ГП, обточ.,отжиг, УЗК,РТТ</t>
  </si>
  <si>
    <t>ТУ 14-1-4058-06,отж., 2гп,обточ.,УЗК,  РТ-Техприемка</t>
  </si>
  <si>
    <t>AISI904L</t>
  </si>
  <si>
    <t>1200х6000</t>
  </si>
  <si>
    <t>Китай</t>
  </si>
  <si>
    <t>108х4</t>
  </si>
  <si>
    <t>1,42м.</t>
  </si>
  <si>
    <t>в бухтах</t>
  </si>
  <si>
    <t>6,94м./8м.</t>
  </si>
  <si>
    <t>245х42</t>
  </si>
  <si>
    <t>1,63м.</t>
  </si>
  <si>
    <t>2590-2006,14-1-950-86, отж., 2ГП, обточ.,НМВ, РТТ,УЗК</t>
  </si>
  <si>
    <t>2,13м.</t>
  </si>
  <si>
    <t>есть короткая 2,62м.</t>
  </si>
  <si>
    <t>есть короткая 1,71м.</t>
  </si>
  <si>
    <t>есть короткая 2,52м.</t>
  </si>
  <si>
    <t>ТУ 14-1-4058-06,отж., 2гп,обт.</t>
  </si>
  <si>
    <t>ПРАЙС-ЛИСТ ООО "МосОборонСнаб"</t>
  </si>
  <si>
    <t xml:space="preserve">              Адрес склада: МО, Наро-Фоминский р-н, г. Апрелевка, ул. Апрелевская, 65,к.3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</si>
</sst>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_ ;[Red]\-0.000\ 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4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4"/>
      <color theme="1"/>
      <name val="Calibri"/>
      <family val="2"/>
      <charset val="204"/>
    </font>
    <font>
      <sz val="14"/>
      <color rgb="FFFF0000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/>
    <xf numFmtId="0" fontId="15" fillId="0" borderId="0"/>
    <xf numFmtId="0" fontId="23" fillId="0" borderId="0"/>
  </cellStyleXfs>
  <cellXfs count="143">
    <xf numFmtId="0" fontId="0" fillId="0" borderId="0" xfId="0"/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64" fontId="11" fillId="2" borderId="1" xfId="0" applyNumberFormat="1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9" fillId="2" borderId="1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left"/>
    </xf>
    <xf numFmtId="164" fontId="19" fillId="2" borderId="1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0" fontId="16" fillId="2" borderId="1" xfId="2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/>
    </xf>
    <xf numFmtId="0" fontId="16" fillId="2" borderId="2" xfId="2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1" fillId="2" borderId="1" xfId="0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12" fillId="2" borderId="6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3" fontId="6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center"/>
    </xf>
    <xf numFmtId="164" fontId="16" fillId="5" borderId="1" xfId="0" applyNumberFormat="1" applyFont="1" applyFill="1" applyBorder="1" applyAlignment="1">
      <alignment horizontal="center"/>
    </xf>
    <xf numFmtId="3" fontId="20" fillId="5" borderId="1" xfId="0" applyNumberFormat="1" applyFont="1" applyFill="1" applyBorder="1" applyAlignment="1">
      <alignment horizontal="center"/>
    </xf>
    <xf numFmtId="3" fontId="16" fillId="5" borderId="1" xfId="0" applyNumberFormat="1" applyFont="1" applyFill="1" applyBorder="1" applyAlignment="1">
      <alignment horizontal="center"/>
    </xf>
    <xf numFmtId="0" fontId="16" fillId="5" borderId="6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7" fillId="5" borderId="1" xfId="0" applyFont="1" applyFill="1" applyBorder="1" applyAlignment="1">
      <alignment horizontal="left"/>
    </xf>
    <xf numFmtId="0" fontId="17" fillId="5" borderId="1" xfId="0" applyFont="1" applyFill="1" applyBorder="1" applyAlignment="1">
      <alignment horizontal="center"/>
    </xf>
    <xf numFmtId="3" fontId="17" fillId="5" borderId="1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20" fillId="5" borderId="1" xfId="0" applyFont="1" applyFill="1" applyBorder="1" applyAlignment="1">
      <alignment horizontal="center"/>
    </xf>
    <xf numFmtId="3" fontId="18" fillId="5" borderId="1" xfId="0" applyNumberFormat="1" applyFont="1" applyFill="1" applyBorder="1" applyAlignment="1">
      <alignment horizontal="center"/>
    </xf>
    <xf numFmtId="164" fontId="19" fillId="5" borderId="1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/>
    </xf>
    <xf numFmtId="0" fontId="16" fillId="6" borderId="1" xfId="0" applyFont="1" applyFill="1" applyBorder="1" applyAlignment="1">
      <alignment horizontal="center"/>
    </xf>
    <xf numFmtId="164" fontId="19" fillId="6" borderId="1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16" fillId="5" borderId="1" xfId="2" applyFont="1" applyFill="1" applyBorder="1" applyAlignment="1">
      <alignment horizontal="center" vertical="top" wrapText="1"/>
    </xf>
    <xf numFmtId="0" fontId="24" fillId="5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3" fontId="16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center"/>
    </xf>
    <xf numFmtId="164" fontId="17" fillId="5" borderId="1" xfId="0" applyNumberFormat="1" applyFont="1" applyFill="1" applyBorder="1" applyAlignment="1">
      <alignment horizontal="center"/>
    </xf>
    <xf numFmtId="0" fontId="12" fillId="0" borderId="1" xfId="0" applyFont="1" applyBorder="1"/>
    <xf numFmtId="3" fontId="12" fillId="2" borderId="1" xfId="0" applyNumberFormat="1" applyFont="1" applyFill="1" applyBorder="1" applyAlignment="1">
      <alignment horizontal="left"/>
    </xf>
    <xf numFmtId="3" fontId="20" fillId="6" borderId="1" xfId="0" applyNumberFormat="1" applyFont="1" applyFill="1" applyBorder="1" applyAlignment="1">
      <alignment horizontal="center"/>
    </xf>
    <xf numFmtId="3" fontId="17" fillId="6" borderId="1" xfId="0" applyNumberFormat="1" applyFont="1" applyFill="1" applyBorder="1" applyAlignment="1">
      <alignment horizontal="center"/>
    </xf>
    <xf numFmtId="0" fontId="16" fillId="6" borderId="6" xfId="0" applyFont="1" applyFill="1" applyBorder="1" applyAlignment="1">
      <alignment horizontal="left"/>
    </xf>
    <xf numFmtId="0" fontId="17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4" fontId="9" fillId="6" borderId="1" xfId="0" applyNumberFormat="1" applyFont="1" applyFill="1" applyBorder="1" applyAlignment="1">
      <alignment horizontal="center"/>
    </xf>
    <xf numFmtId="3" fontId="12" fillId="6" borderId="1" xfId="0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left"/>
    </xf>
    <xf numFmtId="0" fontId="17" fillId="6" borderId="2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27" fillId="6" borderId="17" xfId="0" applyFont="1" applyFill="1" applyBorder="1" applyAlignment="1">
      <alignment horizontal="center"/>
    </xf>
    <xf numFmtId="0" fontId="27" fillId="6" borderId="20" xfId="0" applyFont="1" applyFill="1" applyBorder="1" applyAlignment="1">
      <alignment horizontal="center"/>
    </xf>
    <xf numFmtId="3" fontId="26" fillId="6" borderId="17" xfId="0" applyNumberFormat="1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0" fillId="2" borderId="11" xfId="0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0" fontId="26" fillId="6" borderId="16" xfId="0" applyFont="1" applyFill="1" applyBorder="1" applyAlignment="1">
      <alignment horizontal="center"/>
    </xf>
    <xf numFmtId="165" fontId="26" fillId="6" borderId="17" xfId="0" applyNumberFormat="1" applyFont="1" applyFill="1" applyBorder="1" applyAlignment="1">
      <alignment horizontal="center"/>
    </xf>
    <xf numFmtId="0" fontId="26" fillId="6" borderId="18" xfId="0" applyFont="1" applyFill="1" applyBorder="1" applyAlignment="1">
      <alignment horizontal="center"/>
    </xf>
    <xf numFmtId="0" fontId="26" fillId="6" borderId="19" xfId="0" applyFont="1" applyFill="1" applyBorder="1" applyAlignment="1">
      <alignment horizontal="center"/>
    </xf>
    <xf numFmtId="165" fontId="26" fillId="6" borderId="20" xfId="0" applyNumberFormat="1" applyFont="1" applyFill="1" applyBorder="1" applyAlignment="1">
      <alignment horizontal="center"/>
    </xf>
    <xf numFmtId="0" fontId="12" fillId="8" borderId="1" xfId="0" applyFont="1" applyFill="1" applyBorder="1"/>
    <xf numFmtId="0" fontId="6" fillId="8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left"/>
    </xf>
    <xf numFmtId="49" fontId="16" fillId="6" borderId="1" xfId="0" applyNumberFormat="1" applyFont="1" applyFill="1" applyBorder="1" applyAlignment="1">
      <alignment horizontal="left"/>
    </xf>
    <xf numFmtId="0" fontId="26" fillId="7" borderId="15" xfId="0" applyFont="1" applyFill="1" applyBorder="1" applyAlignment="1">
      <alignment horizontal="center"/>
    </xf>
    <xf numFmtId="3" fontId="26" fillId="6" borderId="20" xfId="0" applyNumberFormat="1" applyFont="1" applyFill="1" applyBorder="1" applyAlignment="1">
      <alignment horizontal="center"/>
    </xf>
    <xf numFmtId="0" fontId="27" fillId="6" borderId="0" xfId="0" applyFont="1" applyFill="1" applyAlignment="1">
      <alignment horizontal="center"/>
    </xf>
    <xf numFmtId="0" fontId="28" fillId="6" borderId="1" xfId="0" applyFont="1" applyFill="1" applyBorder="1"/>
    <xf numFmtId="164" fontId="16" fillId="2" borderId="1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left"/>
    </xf>
    <xf numFmtId="0" fontId="0" fillId="2" borderId="21" xfId="0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6" fillId="6" borderId="0" xfId="0" applyFont="1" applyFill="1" applyBorder="1" applyAlignment="1">
      <alignment horizontal="center"/>
    </xf>
  </cellXfs>
  <cellStyles count="4">
    <cellStyle name="Обычный" xfId="0" builtinId="0"/>
    <cellStyle name="Обычный 2" xfId="1" xr:uid="{00000000-0005-0000-0000-000001000000}"/>
    <cellStyle name="Обычный 5" xfId="3" xr:uid="{00000000-0005-0000-0000-000002000000}"/>
    <cellStyle name="Обычный_Лист1" xfId="2" xr:uid="{00000000-0005-0000-0000-000003000000}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P619"/>
  <sheetViews>
    <sheetView tabSelected="1" zoomScale="70" zoomScaleNormal="70" workbookViewId="0">
      <pane ySplit="3" topLeftCell="A4" activePane="bottomLeft" state="frozen"/>
      <selection pane="bottomLeft" activeCell="F21" sqref="F21"/>
    </sheetView>
  </sheetViews>
  <sheetFormatPr defaultColWidth="8" defaultRowHeight="15" x14ac:dyDescent="0.25"/>
  <cols>
    <col min="1" max="1" width="8" style="1"/>
    <col min="2" max="2" width="13.42578125" style="2" customWidth="1"/>
    <col min="3" max="3" width="37.85546875" style="1" customWidth="1"/>
    <col min="4" max="4" width="22.85546875" style="1" customWidth="1"/>
    <col min="5" max="5" width="25.85546875" style="1" customWidth="1"/>
    <col min="6" max="6" width="51.5703125" style="1" customWidth="1"/>
    <col min="7" max="7" width="17.42578125" style="6" customWidth="1"/>
    <col min="8" max="8" width="15.28515625" style="1" customWidth="1"/>
    <col min="9" max="9" width="19.7109375" style="1" customWidth="1"/>
    <col min="10" max="10" width="24.42578125" style="1" customWidth="1"/>
    <col min="11" max="11" width="20.7109375" style="1" customWidth="1"/>
    <col min="12" max="12" width="31" style="1" customWidth="1"/>
    <col min="13" max="13" width="17.42578125" style="1" customWidth="1"/>
    <col min="14" max="16384" width="8" style="1"/>
  </cols>
  <sheetData>
    <row r="1" spans="1:68" ht="60" customHeight="1" x14ac:dyDescent="0.25">
      <c r="A1" s="140" t="s">
        <v>412</v>
      </c>
      <c r="B1" s="140"/>
      <c r="C1" s="140"/>
      <c r="D1" s="140"/>
      <c r="E1" s="140"/>
      <c r="F1" s="140"/>
      <c r="G1" s="140"/>
      <c r="H1" s="140"/>
      <c r="I1" s="140"/>
      <c r="J1" s="141"/>
    </row>
    <row r="2" spans="1:68" ht="60.75" customHeight="1" x14ac:dyDescent="0.25">
      <c r="A2" s="138" t="s">
        <v>413</v>
      </c>
      <c r="B2" s="138"/>
      <c r="C2" s="138"/>
      <c r="D2" s="138"/>
      <c r="E2" s="138"/>
      <c r="F2" s="138"/>
      <c r="G2" s="138"/>
      <c r="H2" s="138"/>
      <c r="I2" s="138"/>
      <c r="J2" s="139"/>
    </row>
    <row r="3" spans="1:68" s="2" customFormat="1" ht="63" x14ac:dyDescent="0.25">
      <c r="B3" s="34" t="s">
        <v>8</v>
      </c>
      <c r="C3" s="52" t="s">
        <v>18</v>
      </c>
      <c r="D3" s="35" t="s">
        <v>23</v>
      </c>
      <c r="E3" s="35" t="s">
        <v>341</v>
      </c>
      <c r="F3" s="35" t="s">
        <v>31</v>
      </c>
      <c r="G3" s="36" t="s">
        <v>19</v>
      </c>
      <c r="H3" s="34" t="s">
        <v>59</v>
      </c>
      <c r="I3" s="37" t="s">
        <v>81</v>
      </c>
      <c r="J3" s="35" t="s">
        <v>32</v>
      </c>
      <c r="K3" s="53" t="s">
        <v>57</v>
      </c>
    </row>
    <row r="4" spans="1:68" s="2" customFormat="1" ht="21" x14ac:dyDescent="0.3">
      <c r="B4" s="26" t="s">
        <v>221</v>
      </c>
      <c r="C4" s="52" t="s">
        <v>55</v>
      </c>
      <c r="D4" s="35" t="s">
        <v>299</v>
      </c>
      <c r="E4" s="34">
        <v>565</v>
      </c>
      <c r="F4" s="35" t="s">
        <v>297</v>
      </c>
      <c r="G4" s="36">
        <v>0.69599999999999995</v>
      </c>
      <c r="H4" s="34"/>
      <c r="I4" s="63">
        <v>430000</v>
      </c>
      <c r="J4" s="29" t="s">
        <v>56</v>
      </c>
      <c r="K4" s="82"/>
      <c r="L4" s="8"/>
    </row>
    <row r="5" spans="1:68" s="2" customFormat="1" ht="21" x14ac:dyDescent="0.3">
      <c r="B5" s="26" t="s">
        <v>221</v>
      </c>
      <c r="C5" s="52" t="s">
        <v>55</v>
      </c>
      <c r="D5" s="35" t="s">
        <v>222</v>
      </c>
      <c r="E5" s="34">
        <v>560</v>
      </c>
      <c r="F5" s="35" t="s">
        <v>297</v>
      </c>
      <c r="G5" s="36">
        <v>0.67400000000000004</v>
      </c>
      <c r="H5" s="34"/>
      <c r="I5" s="63">
        <v>430000</v>
      </c>
      <c r="J5" s="29" t="s">
        <v>56</v>
      </c>
      <c r="K5" s="82"/>
      <c r="L5" s="8"/>
    </row>
    <row r="6" spans="1:68" s="2" customFormat="1" ht="21" x14ac:dyDescent="0.3">
      <c r="B6" s="26" t="s">
        <v>221</v>
      </c>
      <c r="C6" s="52" t="s">
        <v>55</v>
      </c>
      <c r="D6" s="35" t="s">
        <v>300</v>
      </c>
      <c r="E6" s="34">
        <v>565</v>
      </c>
      <c r="F6" s="35" t="s">
        <v>297</v>
      </c>
      <c r="G6" s="36">
        <v>0.67700000000000005</v>
      </c>
      <c r="H6" s="34"/>
      <c r="I6" s="63">
        <v>430000</v>
      </c>
      <c r="J6" s="29" t="s">
        <v>56</v>
      </c>
      <c r="K6" s="82"/>
      <c r="L6" s="8"/>
    </row>
    <row r="7" spans="1:68" s="2" customFormat="1" ht="21" x14ac:dyDescent="0.3">
      <c r="B7" s="26" t="s">
        <v>221</v>
      </c>
      <c r="C7" s="52" t="s">
        <v>55</v>
      </c>
      <c r="D7" s="35" t="s">
        <v>222</v>
      </c>
      <c r="E7" s="34">
        <v>590</v>
      </c>
      <c r="F7" s="35" t="s">
        <v>297</v>
      </c>
      <c r="G7" s="36">
        <v>0.70399999999999996</v>
      </c>
      <c r="H7" s="34"/>
      <c r="I7" s="63">
        <v>430000</v>
      </c>
      <c r="J7" s="29" t="s">
        <v>56</v>
      </c>
      <c r="K7" s="82"/>
      <c r="L7" s="8"/>
    </row>
    <row r="8" spans="1:68" s="3" customFormat="1" ht="19.5" customHeight="1" x14ac:dyDescent="0.3">
      <c r="B8" s="26" t="s">
        <v>11</v>
      </c>
      <c r="C8" s="27" t="s">
        <v>0</v>
      </c>
      <c r="D8" s="27">
        <v>80</v>
      </c>
      <c r="E8" s="27"/>
      <c r="F8" s="27"/>
      <c r="G8" s="30">
        <v>0.124</v>
      </c>
      <c r="H8" s="31" t="s">
        <v>34</v>
      </c>
      <c r="I8" s="39">
        <v>190000</v>
      </c>
      <c r="J8" s="29" t="s">
        <v>56</v>
      </c>
      <c r="K8" s="12"/>
      <c r="L8" s="10"/>
    </row>
    <row r="9" spans="1:68" s="3" customFormat="1" ht="19.5" customHeight="1" x14ac:dyDescent="0.3">
      <c r="B9" s="26" t="s">
        <v>11</v>
      </c>
      <c r="C9" s="27" t="s">
        <v>70</v>
      </c>
      <c r="D9" s="27">
        <v>90</v>
      </c>
      <c r="E9" s="27"/>
      <c r="F9" s="27" t="s">
        <v>71</v>
      </c>
      <c r="G9" s="30">
        <v>6.3E-2</v>
      </c>
      <c r="H9" s="28" t="s">
        <v>63</v>
      </c>
      <c r="I9" s="38">
        <v>350000</v>
      </c>
      <c r="J9" s="29" t="s">
        <v>56</v>
      </c>
      <c r="K9" s="12"/>
      <c r="L9" s="10"/>
    </row>
    <row r="10" spans="1:68" s="3" customFormat="1" ht="19.5" customHeight="1" x14ac:dyDescent="0.3">
      <c r="B10" s="26" t="s">
        <v>10</v>
      </c>
      <c r="C10" s="27" t="s">
        <v>397</v>
      </c>
      <c r="D10" s="27" t="s">
        <v>400</v>
      </c>
      <c r="E10" s="27"/>
      <c r="F10" s="27"/>
      <c r="G10" s="30">
        <v>2.1</v>
      </c>
      <c r="H10" s="28" t="s">
        <v>399</v>
      </c>
      <c r="I10" s="38">
        <v>1700000</v>
      </c>
      <c r="J10" s="26" t="s">
        <v>56</v>
      </c>
      <c r="K10" s="12"/>
      <c r="L10" s="10"/>
    </row>
    <row r="11" spans="1:68" s="2" customFormat="1" ht="19.5" customHeight="1" x14ac:dyDescent="0.3">
      <c r="B11" s="26" t="s">
        <v>25</v>
      </c>
      <c r="C11" s="41" t="s">
        <v>123</v>
      </c>
      <c r="D11" s="27" t="s">
        <v>124</v>
      </c>
      <c r="E11" s="27"/>
      <c r="F11" s="27" t="s">
        <v>145</v>
      </c>
      <c r="G11" s="30">
        <v>0.251</v>
      </c>
      <c r="H11" s="28" t="s">
        <v>115</v>
      </c>
      <c r="I11" s="38">
        <v>1500000</v>
      </c>
      <c r="J11" s="26" t="s">
        <v>56</v>
      </c>
      <c r="K11" s="14"/>
      <c r="L11" s="10"/>
      <c r="M11" s="3"/>
      <c r="N11" s="3"/>
      <c r="O11" s="3"/>
      <c r="P11" s="3"/>
      <c r="Q11" s="3"/>
      <c r="R11" s="3"/>
    </row>
    <row r="12" spans="1:68" s="2" customFormat="1" ht="19.5" customHeight="1" x14ac:dyDescent="0.3">
      <c r="B12" s="26" t="s">
        <v>25</v>
      </c>
      <c r="C12" s="41" t="s">
        <v>114</v>
      </c>
      <c r="D12" s="27" t="s">
        <v>111</v>
      </c>
      <c r="E12" s="27"/>
      <c r="F12" s="27" t="s">
        <v>146</v>
      </c>
      <c r="G12" s="30">
        <v>0.88900000000000001</v>
      </c>
      <c r="H12" s="28" t="s">
        <v>115</v>
      </c>
      <c r="I12" s="38">
        <v>1500000</v>
      </c>
      <c r="J12" s="26" t="s">
        <v>56</v>
      </c>
      <c r="K12" s="14"/>
      <c r="L12" s="8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s="2" customFormat="1" ht="19.5" customHeight="1" x14ac:dyDescent="0.3">
      <c r="B13" s="26" t="s">
        <v>25</v>
      </c>
      <c r="C13" s="41" t="s">
        <v>114</v>
      </c>
      <c r="D13" s="27" t="s">
        <v>112</v>
      </c>
      <c r="E13" s="27"/>
      <c r="F13" s="27" t="s">
        <v>145</v>
      </c>
      <c r="G13" s="30">
        <v>0.32600000000000001</v>
      </c>
      <c r="H13" s="28" t="s">
        <v>115</v>
      </c>
      <c r="I13" s="38">
        <v>1500000</v>
      </c>
      <c r="J13" s="26" t="s">
        <v>56</v>
      </c>
      <c r="K13" s="14"/>
      <c r="L13" s="8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s="2" customFormat="1" ht="19.5" customHeight="1" x14ac:dyDescent="0.3">
      <c r="B14" s="26" t="s">
        <v>25</v>
      </c>
      <c r="C14" s="41" t="s">
        <v>114</v>
      </c>
      <c r="D14" s="27" t="s">
        <v>113</v>
      </c>
      <c r="E14" s="27"/>
      <c r="F14" s="27" t="s">
        <v>145</v>
      </c>
      <c r="G14" s="30">
        <v>0.45200000000000001</v>
      </c>
      <c r="H14" s="28" t="s">
        <v>115</v>
      </c>
      <c r="I14" s="38">
        <v>1500000</v>
      </c>
      <c r="J14" s="26" t="s">
        <v>56</v>
      </c>
      <c r="K14" s="14"/>
      <c r="L14" s="8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s="2" customFormat="1" ht="19.5" customHeight="1" x14ac:dyDescent="0.3">
      <c r="B15" s="66" t="s">
        <v>9</v>
      </c>
      <c r="C15" s="88" t="s">
        <v>331</v>
      </c>
      <c r="D15" s="67">
        <v>25</v>
      </c>
      <c r="E15" s="67"/>
      <c r="F15" s="67"/>
      <c r="G15" s="81">
        <v>5.3999999999999999E-2</v>
      </c>
      <c r="H15" s="76"/>
      <c r="I15" s="70">
        <v>810000</v>
      </c>
      <c r="J15" s="66" t="s">
        <v>56</v>
      </c>
      <c r="K15" s="14"/>
      <c r="L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s="2" customFormat="1" ht="19.5" customHeight="1" x14ac:dyDescent="0.3">
      <c r="B16" s="66" t="s">
        <v>9</v>
      </c>
      <c r="C16" s="88" t="s">
        <v>331</v>
      </c>
      <c r="D16" s="67">
        <v>32</v>
      </c>
      <c r="E16" s="67"/>
      <c r="F16" s="67"/>
      <c r="G16" s="81">
        <v>6.2E-2</v>
      </c>
      <c r="H16" s="76"/>
      <c r="I16" s="70">
        <v>760000</v>
      </c>
      <c r="J16" s="66" t="s">
        <v>56</v>
      </c>
      <c r="K16" s="14"/>
      <c r="L16" s="8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2:68" s="2" customFormat="1" ht="19.5" customHeight="1" x14ac:dyDescent="0.3">
      <c r="B17" s="66" t="s">
        <v>9</v>
      </c>
      <c r="C17" s="88" t="s">
        <v>331</v>
      </c>
      <c r="D17" s="67">
        <v>36</v>
      </c>
      <c r="E17" s="67"/>
      <c r="F17" s="67"/>
      <c r="G17" s="81">
        <v>6.3E-2</v>
      </c>
      <c r="H17" s="76"/>
      <c r="I17" s="70">
        <v>750000</v>
      </c>
      <c r="J17" s="66" t="s">
        <v>56</v>
      </c>
      <c r="K17" s="14"/>
      <c r="L17" s="8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2:68" s="2" customFormat="1" ht="19.5" customHeight="1" x14ac:dyDescent="0.3">
      <c r="B18" s="66" t="s">
        <v>9</v>
      </c>
      <c r="C18" s="88" t="s">
        <v>331</v>
      </c>
      <c r="D18" s="67">
        <v>38</v>
      </c>
      <c r="E18" s="67"/>
      <c r="F18" s="67"/>
      <c r="G18" s="81">
        <v>7.0000000000000007E-2</v>
      </c>
      <c r="H18" s="76"/>
      <c r="I18" s="70">
        <v>760000</v>
      </c>
      <c r="J18" s="66" t="s">
        <v>56</v>
      </c>
      <c r="K18" s="14"/>
      <c r="L18" s="8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2:68" s="2" customFormat="1" ht="19.5" customHeight="1" x14ac:dyDescent="0.3">
      <c r="B19" s="66" t="s">
        <v>9</v>
      </c>
      <c r="C19" s="88" t="s">
        <v>331</v>
      </c>
      <c r="D19" s="67">
        <v>40</v>
      </c>
      <c r="E19" s="67"/>
      <c r="F19" s="67"/>
      <c r="G19" s="81">
        <v>8.4000000000000005E-2</v>
      </c>
      <c r="H19" s="76"/>
      <c r="I19" s="70">
        <v>750000</v>
      </c>
      <c r="J19" s="66" t="s">
        <v>56</v>
      </c>
      <c r="K19" s="14"/>
      <c r="L19" s="8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2:68" s="2" customFormat="1" ht="19.5" customHeight="1" x14ac:dyDescent="0.3">
      <c r="B20" s="66" t="s">
        <v>9</v>
      </c>
      <c r="C20" s="88" t="s">
        <v>331</v>
      </c>
      <c r="D20" s="67">
        <v>45</v>
      </c>
      <c r="E20" s="67"/>
      <c r="F20" s="67"/>
      <c r="G20" s="81">
        <v>0.06</v>
      </c>
      <c r="H20" s="76"/>
      <c r="I20" s="70">
        <v>750000</v>
      </c>
      <c r="J20" s="66" t="s">
        <v>56</v>
      </c>
      <c r="K20" s="14"/>
      <c r="L20" s="8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2:68" s="2" customFormat="1" ht="19.5" customHeight="1" x14ac:dyDescent="0.3">
      <c r="B21" s="66" t="s">
        <v>9</v>
      </c>
      <c r="C21" s="88" t="s">
        <v>331</v>
      </c>
      <c r="D21" s="67">
        <v>50</v>
      </c>
      <c r="E21" s="67"/>
      <c r="F21" s="67"/>
      <c r="G21" s="81">
        <v>0.05</v>
      </c>
      <c r="H21" s="76"/>
      <c r="I21" s="70">
        <v>760000</v>
      </c>
      <c r="J21" s="66" t="s">
        <v>56</v>
      </c>
      <c r="K21" s="14"/>
      <c r="L21" s="8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2:68" s="2" customFormat="1" ht="19.5" customHeight="1" x14ac:dyDescent="0.3">
      <c r="B22" s="66" t="s">
        <v>9</v>
      </c>
      <c r="C22" s="88" t="s">
        <v>331</v>
      </c>
      <c r="D22" s="67">
        <v>56</v>
      </c>
      <c r="E22" s="67"/>
      <c r="F22" s="67"/>
      <c r="G22" s="81">
        <v>7.9000000000000001E-2</v>
      </c>
      <c r="H22" s="76"/>
      <c r="I22" s="70">
        <v>750000</v>
      </c>
      <c r="J22" s="66" t="s">
        <v>56</v>
      </c>
      <c r="K22" s="14"/>
      <c r="L22" s="8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2:68" s="2" customFormat="1" ht="19.5" customHeight="1" x14ac:dyDescent="0.3">
      <c r="B23" s="66" t="s">
        <v>9</v>
      </c>
      <c r="C23" s="88" t="s">
        <v>331</v>
      </c>
      <c r="D23" s="67">
        <v>65</v>
      </c>
      <c r="E23" s="67"/>
      <c r="F23" s="67"/>
      <c r="G23" s="81">
        <v>0.109</v>
      </c>
      <c r="H23" s="76"/>
      <c r="I23" s="70">
        <v>750000</v>
      </c>
      <c r="J23" s="66" t="s">
        <v>56</v>
      </c>
      <c r="K23" s="14"/>
      <c r="L23" s="8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2:68" s="2" customFormat="1" ht="19.5" customHeight="1" x14ac:dyDescent="0.3">
      <c r="B24" s="66" t="s">
        <v>9</v>
      </c>
      <c r="C24" s="88" t="s">
        <v>331</v>
      </c>
      <c r="D24" s="67">
        <v>70</v>
      </c>
      <c r="E24" s="67"/>
      <c r="F24" s="67"/>
      <c r="G24" s="81">
        <v>0.108</v>
      </c>
      <c r="H24" s="76"/>
      <c r="I24" s="70">
        <v>750000</v>
      </c>
      <c r="J24" s="66" t="s">
        <v>56</v>
      </c>
      <c r="K24" s="14"/>
      <c r="L24" s="8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2:68" s="2" customFormat="1" ht="19.5" customHeight="1" x14ac:dyDescent="0.3">
      <c r="B25" s="66" t="s">
        <v>9</v>
      </c>
      <c r="C25" s="88" t="s">
        <v>331</v>
      </c>
      <c r="D25" s="67">
        <v>80</v>
      </c>
      <c r="E25" s="67"/>
      <c r="F25" s="67"/>
      <c r="G25" s="81">
        <v>0.14399999999999999</v>
      </c>
      <c r="H25" s="76"/>
      <c r="I25" s="70">
        <v>750000</v>
      </c>
      <c r="J25" s="66" t="s">
        <v>56</v>
      </c>
      <c r="K25" s="14"/>
      <c r="L25" s="8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2:68" s="2" customFormat="1" ht="19.5" customHeight="1" x14ac:dyDescent="0.3">
      <c r="B26" s="66" t="s">
        <v>9</v>
      </c>
      <c r="C26" s="88" t="s">
        <v>331</v>
      </c>
      <c r="D26" s="67">
        <v>90</v>
      </c>
      <c r="E26" s="67"/>
      <c r="F26" s="67"/>
      <c r="G26" s="81">
        <v>0.17599999999999999</v>
      </c>
      <c r="H26" s="76"/>
      <c r="I26" s="70">
        <v>750000</v>
      </c>
      <c r="J26" s="66" t="s">
        <v>56</v>
      </c>
      <c r="K26" s="14"/>
      <c r="L26" s="8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2:68" s="2" customFormat="1" ht="19.5" customHeight="1" x14ac:dyDescent="0.3">
      <c r="B27" s="66" t="s">
        <v>9</v>
      </c>
      <c r="C27" s="88" t="s">
        <v>331</v>
      </c>
      <c r="D27" s="67">
        <v>100</v>
      </c>
      <c r="E27" s="67"/>
      <c r="F27" s="67"/>
      <c r="G27" s="81">
        <v>0.32400000000000001</v>
      </c>
      <c r="H27" s="76"/>
      <c r="I27" s="70">
        <v>750000</v>
      </c>
      <c r="J27" s="66" t="s">
        <v>56</v>
      </c>
      <c r="K27" s="14"/>
      <c r="L27" s="8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2:68" s="2" customFormat="1" ht="19.5" customHeight="1" x14ac:dyDescent="0.3">
      <c r="B28" s="26" t="s">
        <v>209</v>
      </c>
      <c r="C28" s="24" t="s">
        <v>174</v>
      </c>
      <c r="D28" s="27">
        <v>225</v>
      </c>
      <c r="E28" s="27"/>
      <c r="F28" s="27"/>
      <c r="G28" s="30">
        <v>1</v>
      </c>
      <c r="H28" s="28" t="s">
        <v>210</v>
      </c>
      <c r="I28" s="39">
        <v>645000</v>
      </c>
      <c r="J28" s="29" t="s">
        <v>56</v>
      </c>
      <c r="K28" s="14"/>
      <c r="L28" s="8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2:68" s="2" customFormat="1" ht="19.5" customHeight="1" x14ac:dyDescent="0.3">
      <c r="B29" s="26" t="s">
        <v>209</v>
      </c>
      <c r="C29" s="24" t="s">
        <v>174</v>
      </c>
      <c r="D29" s="27">
        <v>230</v>
      </c>
      <c r="E29" s="27"/>
      <c r="F29" s="27"/>
      <c r="G29" s="30">
        <v>1.1180000000000001</v>
      </c>
      <c r="H29" s="28" t="s">
        <v>210</v>
      </c>
      <c r="I29" s="39">
        <v>645000</v>
      </c>
      <c r="J29" s="29" t="s">
        <v>56</v>
      </c>
      <c r="K29" s="14"/>
      <c r="L29" s="8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2:68" s="2" customFormat="1" ht="19.5" customHeight="1" x14ac:dyDescent="0.3">
      <c r="B30" s="26" t="s">
        <v>209</v>
      </c>
      <c r="C30" s="24" t="s">
        <v>174</v>
      </c>
      <c r="D30" s="27">
        <v>245</v>
      </c>
      <c r="E30" s="27"/>
      <c r="F30" s="27"/>
      <c r="G30" s="30">
        <v>1.175</v>
      </c>
      <c r="H30" s="28" t="s">
        <v>210</v>
      </c>
      <c r="I30" s="39">
        <v>645000</v>
      </c>
      <c r="J30" s="29" t="s">
        <v>56</v>
      </c>
      <c r="K30" s="14"/>
      <c r="L30" s="8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2:68" s="2" customFormat="1" ht="19.5" customHeight="1" x14ac:dyDescent="0.3">
      <c r="B31" s="26" t="s">
        <v>209</v>
      </c>
      <c r="C31" s="24" t="s">
        <v>174</v>
      </c>
      <c r="D31" s="24">
        <v>250</v>
      </c>
      <c r="E31" s="24"/>
      <c r="F31" s="57"/>
      <c r="G31" s="30">
        <v>1.0649999999999999</v>
      </c>
      <c r="H31" s="28" t="s">
        <v>210</v>
      </c>
      <c r="I31" s="39">
        <v>645000</v>
      </c>
      <c r="J31" s="29" t="s">
        <v>56</v>
      </c>
      <c r="K31" s="14"/>
      <c r="L31" s="8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2:68" s="2" customFormat="1" ht="19.5" customHeight="1" x14ac:dyDescent="0.3">
      <c r="B32" s="66" t="s">
        <v>9</v>
      </c>
      <c r="C32" s="74" t="s">
        <v>332</v>
      </c>
      <c r="D32" s="74">
        <v>10</v>
      </c>
      <c r="E32" s="74"/>
      <c r="F32" s="114"/>
      <c r="G32" s="81">
        <v>4.7E-2</v>
      </c>
      <c r="H32" s="76"/>
      <c r="I32" s="75">
        <v>900000</v>
      </c>
      <c r="J32" s="66" t="s">
        <v>56</v>
      </c>
      <c r="K32" s="14"/>
      <c r="L32" s="8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2:68" s="2" customFormat="1" ht="19.5" customHeight="1" x14ac:dyDescent="0.3">
      <c r="B33" s="66" t="s">
        <v>9</v>
      </c>
      <c r="C33" s="74" t="s">
        <v>332</v>
      </c>
      <c r="D33" s="74">
        <v>18</v>
      </c>
      <c r="E33" s="74"/>
      <c r="F33" s="114"/>
      <c r="G33" s="81">
        <v>4.8000000000000001E-2</v>
      </c>
      <c r="H33" s="76"/>
      <c r="I33" s="75">
        <v>900000</v>
      </c>
      <c r="J33" s="66" t="s">
        <v>56</v>
      </c>
      <c r="K33" s="14"/>
      <c r="L33" s="8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2:68" s="2" customFormat="1" ht="19.5" customHeight="1" x14ac:dyDescent="0.3">
      <c r="B34" s="66" t="s">
        <v>9</v>
      </c>
      <c r="C34" s="74" t="s">
        <v>332</v>
      </c>
      <c r="D34" s="74">
        <v>20</v>
      </c>
      <c r="E34" s="74"/>
      <c r="F34" s="114"/>
      <c r="G34" s="81">
        <v>4.9000000000000002E-2</v>
      </c>
      <c r="H34" s="76"/>
      <c r="I34" s="75">
        <v>900000</v>
      </c>
      <c r="J34" s="66" t="s">
        <v>56</v>
      </c>
      <c r="K34" s="14"/>
      <c r="L34" s="8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2:68" s="2" customFormat="1" ht="19.5" customHeight="1" x14ac:dyDescent="0.3">
      <c r="B35" s="66" t="s">
        <v>9</v>
      </c>
      <c r="C35" s="74" t="s">
        <v>332</v>
      </c>
      <c r="D35" s="74">
        <v>25</v>
      </c>
      <c r="E35" s="74"/>
      <c r="F35" s="114"/>
      <c r="G35" s="81">
        <v>5.6000000000000001E-2</v>
      </c>
      <c r="H35" s="76"/>
      <c r="I35" s="75">
        <v>900000</v>
      </c>
      <c r="J35" s="66" t="s">
        <v>56</v>
      </c>
      <c r="K35" s="14"/>
      <c r="L35" s="8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2:68" s="2" customFormat="1" ht="19.5" customHeight="1" x14ac:dyDescent="0.3">
      <c r="B36" s="66" t="s">
        <v>9</v>
      </c>
      <c r="C36" s="74" t="s">
        <v>332</v>
      </c>
      <c r="D36" s="74">
        <v>30</v>
      </c>
      <c r="E36" s="74"/>
      <c r="F36" s="114"/>
      <c r="G36" s="81">
        <v>2.5000000000000001E-2</v>
      </c>
      <c r="H36" s="76"/>
      <c r="I36" s="75">
        <v>900000</v>
      </c>
      <c r="J36" s="66" t="s">
        <v>56</v>
      </c>
      <c r="K36" s="14"/>
      <c r="L36" s="8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2:68" s="2" customFormat="1" ht="19.5" customHeight="1" x14ac:dyDescent="0.3">
      <c r="B37" s="66" t="s">
        <v>9</v>
      </c>
      <c r="C37" s="74" t="s">
        <v>332</v>
      </c>
      <c r="D37" s="74">
        <v>36</v>
      </c>
      <c r="E37" s="74"/>
      <c r="F37" s="114"/>
      <c r="G37" s="81">
        <v>8.2000000000000003E-2</v>
      </c>
      <c r="H37" s="76"/>
      <c r="I37" s="75">
        <v>870000</v>
      </c>
      <c r="J37" s="66" t="s">
        <v>56</v>
      </c>
      <c r="K37" s="14"/>
      <c r="L37" s="8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2:68" s="2" customFormat="1" ht="19.5" customHeight="1" x14ac:dyDescent="0.3">
      <c r="B38" s="66" t="s">
        <v>9</v>
      </c>
      <c r="C38" s="74" t="s">
        <v>332</v>
      </c>
      <c r="D38" s="74">
        <v>40</v>
      </c>
      <c r="E38" s="74"/>
      <c r="F38" s="114"/>
      <c r="G38" s="81">
        <v>8.1000000000000003E-2</v>
      </c>
      <c r="H38" s="76"/>
      <c r="I38" s="75">
        <v>850000</v>
      </c>
      <c r="J38" s="66" t="s">
        <v>56</v>
      </c>
      <c r="K38" s="14"/>
      <c r="L38" s="8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2:68" s="2" customFormat="1" ht="19.5" customHeight="1" x14ac:dyDescent="0.3">
      <c r="B39" s="66" t="s">
        <v>9</v>
      </c>
      <c r="C39" s="74" t="s">
        <v>332</v>
      </c>
      <c r="D39" s="74">
        <v>45</v>
      </c>
      <c r="E39" s="74"/>
      <c r="F39" s="114"/>
      <c r="G39" s="81">
        <v>0.13700000000000001</v>
      </c>
      <c r="H39" s="76"/>
      <c r="I39" s="75">
        <v>870000</v>
      </c>
      <c r="J39" s="66" t="s">
        <v>56</v>
      </c>
      <c r="K39" s="14"/>
      <c r="L39" s="8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2:68" s="2" customFormat="1" ht="19.5" customHeight="1" x14ac:dyDescent="0.3">
      <c r="B40" s="66" t="s">
        <v>9</v>
      </c>
      <c r="C40" s="74" t="s">
        <v>332</v>
      </c>
      <c r="D40" s="74">
        <v>56</v>
      </c>
      <c r="E40" s="74"/>
      <c r="F40" s="114"/>
      <c r="G40" s="81">
        <v>0.104</v>
      </c>
      <c r="H40" s="76"/>
      <c r="I40" s="75">
        <v>870000</v>
      </c>
      <c r="J40" s="66" t="s">
        <v>56</v>
      </c>
      <c r="K40" s="14"/>
      <c r="L40" s="8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2:68" s="2" customFormat="1" ht="19.5" customHeight="1" x14ac:dyDescent="0.3">
      <c r="B41" s="66" t="s">
        <v>9</v>
      </c>
      <c r="C41" s="74" t="s">
        <v>332</v>
      </c>
      <c r="D41" s="74">
        <v>60</v>
      </c>
      <c r="E41" s="74"/>
      <c r="F41" s="114"/>
      <c r="G41" s="81">
        <v>9.9000000000000005E-2</v>
      </c>
      <c r="H41" s="76"/>
      <c r="I41" s="75">
        <v>860000</v>
      </c>
      <c r="J41" s="66" t="s">
        <v>56</v>
      </c>
      <c r="K41" s="14"/>
      <c r="L41" s="8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2:68" s="2" customFormat="1" ht="19.5" customHeight="1" x14ac:dyDescent="0.3">
      <c r="B42" s="66" t="s">
        <v>9</v>
      </c>
      <c r="C42" s="74" t="s">
        <v>332</v>
      </c>
      <c r="D42" s="74">
        <v>65</v>
      </c>
      <c r="E42" s="74"/>
      <c r="F42" s="114"/>
      <c r="G42" s="81">
        <v>0.115</v>
      </c>
      <c r="H42" s="76"/>
      <c r="I42" s="75">
        <v>860000</v>
      </c>
      <c r="J42" s="66" t="s">
        <v>56</v>
      </c>
      <c r="K42" s="14"/>
      <c r="L42" s="8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2:68" s="2" customFormat="1" ht="19.5" customHeight="1" x14ac:dyDescent="0.3">
      <c r="B43" s="66" t="s">
        <v>9</v>
      </c>
      <c r="C43" s="74" t="s">
        <v>332</v>
      </c>
      <c r="D43" s="74">
        <v>70</v>
      </c>
      <c r="E43" s="74"/>
      <c r="F43" s="114"/>
      <c r="G43" s="81">
        <v>0.13700000000000001</v>
      </c>
      <c r="H43" s="76"/>
      <c r="I43" s="75">
        <v>840000</v>
      </c>
      <c r="J43" s="66" t="s">
        <v>56</v>
      </c>
      <c r="K43" s="14"/>
      <c r="L43" s="8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2:68" s="2" customFormat="1" ht="19.5" customHeight="1" x14ac:dyDescent="0.3">
      <c r="B44" s="66" t="s">
        <v>9</v>
      </c>
      <c r="C44" s="74" t="s">
        <v>332</v>
      </c>
      <c r="D44" s="74">
        <v>75</v>
      </c>
      <c r="E44" s="74"/>
      <c r="F44" s="114"/>
      <c r="G44" s="81">
        <v>0.123</v>
      </c>
      <c r="H44" s="76"/>
      <c r="I44" s="75">
        <v>870000</v>
      </c>
      <c r="J44" s="66" t="s">
        <v>56</v>
      </c>
      <c r="K44" s="14"/>
      <c r="L44" s="8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2:68" s="2" customFormat="1" ht="19.5" customHeight="1" x14ac:dyDescent="0.3">
      <c r="B45" s="66" t="s">
        <v>9</v>
      </c>
      <c r="C45" s="74" t="s">
        <v>332</v>
      </c>
      <c r="D45" s="74">
        <v>85</v>
      </c>
      <c r="E45" s="74"/>
      <c r="F45" s="114"/>
      <c r="G45" s="81">
        <v>0.20599999999999999</v>
      </c>
      <c r="H45" s="76"/>
      <c r="I45" s="75">
        <v>850000</v>
      </c>
      <c r="J45" s="66" t="s">
        <v>56</v>
      </c>
      <c r="K45" s="14"/>
      <c r="L45" s="8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2:68" s="2" customFormat="1" ht="19.5" customHeight="1" x14ac:dyDescent="0.3">
      <c r="B46" s="66" t="s">
        <v>9</v>
      </c>
      <c r="C46" s="74" t="s">
        <v>332</v>
      </c>
      <c r="D46" s="74">
        <v>90</v>
      </c>
      <c r="E46" s="74"/>
      <c r="F46" s="114"/>
      <c r="G46" s="81">
        <v>0.21199999999999999</v>
      </c>
      <c r="H46" s="76"/>
      <c r="I46" s="75">
        <v>850000</v>
      </c>
      <c r="J46" s="66" t="s">
        <v>56</v>
      </c>
      <c r="K46" s="14"/>
      <c r="L46" s="8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2:68" s="2" customFormat="1" ht="19.5" customHeight="1" x14ac:dyDescent="0.3">
      <c r="B47" s="66" t="s">
        <v>9</v>
      </c>
      <c r="C47" s="74" t="s">
        <v>332</v>
      </c>
      <c r="D47" s="74">
        <v>100</v>
      </c>
      <c r="E47" s="74"/>
      <c r="F47" s="114"/>
      <c r="G47" s="81">
        <v>0.32300000000000001</v>
      </c>
      <c r="H47" s="76"/>
      <c r="I47" s="75">
        <v>840000</v>
      </c>
      <c r="J47" s="66" t="s">
        <v>56</v>
      </c>
      <c r="K47" s="14"/>
      <c r="L47" s="8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2:68" s="2" customFormat="1" ht="19.5" customHeight="1" x14ac:dyDescent="0.3">
      <c r="B48" s="66" t="s">
        <v>9</v>
      </c>
      <c r="C48" s="88" t="s">
        <v>281</v>
      </c>
      <c r="D48" s="74">
        <v>25</v>
      </c>
      <c r="E48" s="74"/>
      <c r="F48" s="67" t="s">
        <v>271</v>
      </c>
      <c r="G48" s="81">
        <v>5.8999999999999997E-2</v>
      </c>
      <c r="H48" s="76"/>
      <c r="I48" s="75">
        <v>1250000</v>
      </c>
      <c r="J48" s="66" t="s">
        <v>56</v>
      </c>
      <c r="K48" s="14"/>
      <c r="L48" s="8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2:68" s="2" customFormat="1" ht="19.5" customHeight="1" x14ac:dyDescent="0.3">
      <c r="B49" s="66" t="s">
        <v>9</v>
      </c>
      <c r="C49" s="88" t="s">
        <v>281</v>
      </c>
      <c r="D49" s="74">
        <v>30</v>
      </c>
      <c r="E49" s="74"/>
      <c r="F49" s="67" t="s">
        <v>271</v>
      </c>
      <c r="G49" s="81">
        <v>2.5999999999999999E-2</v>
      </c>
      <c r="H49" s="76"/>
      <c r="I49" s="70">
        <v>1100000</v>
      </c>
      <c r="J49" s="66" t="s">
        <v>56</v>
      </c>
      <c r="K49" s="14"/>
      <c r="L49" s="8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2:68" s="2" customFormat="1" ht="19.5" customHeight="1" x14ac:dyDescent="0.3">
      <c r="B50" s="66" t="s">
        <v>9</v>
      </c>
      <c r="C50" s="88" t="s">
        <v>281</v>
      </c>
      <c r="D50" s="74">
        <v>36</v>
      </c>
      <c r="E50" s="74"/>
      <c r="F50" s="67" t="s">
        <v>271</v>
      </c>
      <c r="G50" s="81">
        <v>6.6000000000000003E-2</v>
      </c>
      <c r="H50" s="76"/>
      <c r="I50" s="70">
        <v>1100000</v>
      </c>
      <c r="J50" s="66" t="s">
        <v>56</v>
      </c>
      <c r="K50" s="14"/>
      <c r="L50" s="8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</row>
    <row r="51" spans="2:68" s="77" customFormat="1" ht="19.5" customHeight="1" x14ac:dyDescent="0.3">
      <c r="B51" s="66" t="s">
        <v>9</v>
      </c>
      <c r="C51" s="88" t="s">
        <v>281</v>
      </c>
      <c r="D51" s="67">
        <v>38</v>
      </c>
      <c r="E51" s="67"/>
      <c r="F51" s="67" t="s">
        <v>271</v>
      </c>
      <c r="G51" s="81">
        <v>0.42</v>
      </c>
      <c r="H51" s="76" t="s">
        <v>58</v>
      </c>
      <c r="I51" s="70">
        <v>1100000</v>
      </c>
      <c r="J51" s="66" t="s">
        <v>56</v>
      </c>
      <c r="K51" s="56"/>
      <c r="L51" s="115"/>
      <c r="M51" s="2"/>
      <c r="N51" s="2"/>
      <c r="O51" s="2"/>
      <c r="P51" s="2"/>
      <c r="Q51" s="2"/>
      <c r="R51" s="2"/>
      <c r="S51" s="3"/>
      <c r="T51" s="3"/>
      <c r="U51" s="3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</row>
    <row r="52" spans="2:68" s="77" customFormat="1" ht="19.5" customHeight="1" x14ac:dyDescent="0.3">
      <c r="B52" s="66" t="s">
        <v>9</v>
      </c>
      <c r="C52" s="88" t="s">
        <v>281</v>
      </c>
      <c r="D52" s="67">
        <v>40</v>
      </c>
      <c r="E52" s="67"/>
      <c r="F52" s="67" t="s">
        <v>271</v>
      </c>
      <c r="G52" s="81">
        <v>8.3000000000000004E-2</v>
      </c>
      <c r="H52" s="76"/>
      <c r="I52" s="70">
        <v>1100000</v>
      </c>
      <c r="J52" s="66" t="s">
        <v>56</v>
      </c>
      <c r="K52" s="56"/>
      <c r="L52" s="115"/>
      <c r="M52" s="2"/>
      <c r="N52" s="2"/>
      <c r="O52" s="2"/>
      <c r="P52" s="2"/>
      <c r="Q52" s="2"/>
      <c r="R52" s="2"/>
      <c r="S52" s="3"/>
      <c r="T52" s="3"/>
      <c r="U52" s="3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</row>
    <row r="53" spans="2:68" s="77" customFormat="1" ht="19.5" customHeight="1" x14ac:dyDescent="0.3">
      <c r="B53" s="66" t="s">
        <v>9</v>
      </c>
      <c r="C53" s="88" t="s">
        <v>281</v>
      </c>
      <c r="D53" s="67">
        <v>50</v>
      </c>
      <c r="E53" s="67"/>
      <c r="F53" s="67" t="s">
        <v>271</v>
      </c>
      <c r="G53" s="81">
        <v>0.06</v>
      </c>
      <c r="H53" s="76"/>
      <c r="I53" s="70">
        <v>1100000</v>
      </c>
      <c r="J53" s="66" t="s">
        <v>56</v>
      </c>
      <c r="K53" s="56"/>
      <c r="L53" s="115"/>
      <c r="M53" s="2"/>
      <c r="N53" s="2"/>
      <c r="O53" s="2"/>
      <c r="P53" s="2"/>
      <c r="Q53" s="2"/>
      <c r="R53" s="2"/>
      <c r="S53" s="3"/>
      <c r="T53" s="3"/>
      <c r="U53" s="3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</row>
    <row r="54" spans="2:68" s="77" customFormat="1" ht="19.5" customHeight="1" x14ac:dyDescent="0.3">
      <c r="B54" s="66" t="s">
        <v>9</v>
      </c>
      <c r="C54" s="88" t="s">
        <v>281</v>
      </c>
      <c r="D54" s="67">
        <v>56</v>
      </c>
      <c r="E54" s="67"/>
      <c r="F54" s="67" t="s">
        <v>271</v>
      </c>
      <c r="G54" s="81">
        <v>8.3000000000000004E-2</v>
      </c>
      <c r="H54" s="76"/>
      <c r="I54" s="70">
        <v>1100000</v>
      </c>
      <c r="J54" s="66" t="s">
        <v>56</v>
      </c>
      <c r="K54" s="56"/>
      <c r="L54" s="115"/>
      <c r="M54" s="2"/>
      <c r="N54" s="2"/>
      <c r="O54" s="2"/>
      <c r="P54" s="2"/>
      <c r="Q54" s="2"/>
      <c r="R54" s="2"/>
      <c r="S54" s="3"/>
      <c r="T54" s="3"/>
      <c r="U54" s="3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</row>
    <row r="55" spans="2:68" s="77" customFormat="1" ht="19.5" customHeight="1" x14ac:dyDescent="0.3">
      <c r="B55" s="66" t="s">
        <v>9</v>
      </c>
      <c r="C55" s="88" t="s">
        <v>281</v>
      </c>
      <c r="D55" s="67">
        <v>60</v>
      </c>
      <c r="E55" s="67"/>
      <c r="F55" s="67" t="s">
        <v>277</v>
      </c>
      <c r="G55" s="81">
        <v>7.88</v>
      </c>
      <c r="H55" s="76" t="s">
        <v>62</v>
      </c>
      <c r="I55" s="70">
        <v>1100000</v>
      </c>
      <c r="J55" s="66" t="s">
        <v>56</v>
      </c>
      <c r="K55" s="56"/>
      <c r="L55" s="115"/>
      <c r="M55" s="2"/>
      <c r="N55" s="2"/>
      <c r="O55" s="2"/>
      <c r="P55" s="2"/>
      <c r="Q55" s="2"/>
      <c r="R55" s="2"/>
      <c r="S55" s="3"/>
      <c r="T55" s="3"/>
      <c r="U55" s="3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</row>
    <row r="56" spans="2:68" s="77" customFormat="1" ht="19.5" customHeight="1" x14ac:dyDescent="0.3">
      <c r="B56" s="66" t="s">
        <v>9</v>
      </c>
      <c r="C56" s="88" t="s">
        <v>281</v>
      </c>
      <c r="D56" s="67">
        <v>70</v>
      </c>
      <c r="E56" s="67"/>
      <c r="F56" s="67" t="s">
        <v>277</v>
      </c>
      <c r="G56" s="81">
        <v>7.3</v>
      </c>
      <c r="H56" s="76" t="s">
        <v>62</v>
      </c>
      <c r="I56" s="70">
        <v>1100000</v>
      </c>
      <c r="J56" s="66" t="s">
        <v>56</v>
      </c>
      <c r="K56" s="56"/>
      <c r="L56" s="115"/>
      <c r="M56" s="2"/>
      <c r="N56" s="2"/>
      <c r="O56" s="2"/>
      <c r="P56" s="2"/>
      <c r="Q56" s="2"/>
      <c r="R56" s="2"/>
      <c r="S56" s="3"/>
      <c r="T56" s="3"/>
      <c r="U56" s="3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</row>
    <row r="57" spans="2:68" s="77" customFormat="1" ht="19.5" customHeight="1" x14ac:dyDescent="0.3">
      <c r="B57" s="66" t="s">
        <v>9</v>
      </c>
      <c r="C57" s="88" t="s">
        <v>281</v>
      </c>
      <c r="D57" s="67">
        <v>80</v>
      </c>
      <c r="E57" s="67"/>
      <c r="F57" s="67" t="s">
        <v>277</v>
      </c>
      <c r="G57" s="81">
        <v>7.9569999999999999</v>
      </c>
      <c r="H57" s="76" t="s">
        <v>62</v>
      </c>
      <c r="I57" s="70">
        <v>1100000</v>
      </c>
      <c r="J57" s="66" t="s">
        <v>56</v>
      </c>
      <c r="K57" s="56"/>
      <c r="L57" s="115"/>
      <c r="M57" s="2"/>
      <c r="N57" s="2"/>
      <c r="O57" s="2"/>
      <c r="P57" s="2"/>
      <c r="Q57" s="2"/>
      <c r="R57" s="2"/>
      <c r="S57" s="3"/>
      <c r="T57" s="3"/>
      <c r="U57" s="3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</row>
    <row r="58" spans="2:68" s="77" customFormat="1" ht="19.5" customHeight="1" x14ac:dyDescent="0.3">
      <c r="B58" s="66" t="s">
        <v>9</v>
      </c>
      <c r="C58" s="88" t="s">
        <v>281</v>
      </c>
      <c r="D58" s="67">
        <v>100</v>
      </c>
      <c r="E58" s="67"/>
      <c r="F58" s="67" t="s">
        <v>277</v>
      </c>
      <c r="G58" s="81">
        <v>4.1890000000000001</v>
      </c>
      <c r="H58" s="76" t="s">
        <v>62</v>
      </c>
      <c r="I58" s="70">
        <v>1100000</v>
      </c>
      <c r="J58" s="66" t="s">
        <v>56</v>
      </c>
      <c r="K58" s="56"/>
      <c r="L58" s="115"/>
      <c r="M58" s="2"/>
      <c r="N58" s="2"/>
      <c r="O58" s="2"/>
      <c r="P58" s="2"/>
      <c r="Q58" s="2"/>
      <c r="R58" s="2"/>
      <c r="S58" s="3"/>
      <c r="T58" s="3"/>
      <c r="U58" s="3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</row>
    <row r="59" spans="2:68" s="77" customFormat="1" ht="19.5" customHeight="1" x14ac:dyDescent="0.3">
      <c r="B59" s="66" t="s">
        <v>9</v>
      </c>
      <c r="C59" s="88" t="s">
        <v>281</v>
      </c>
      <c r="D59" s="67">
        <v>110</v>
      </c>
      <c r="E59" s="67"/>
      <c r="F59" s="67" t="s">
        <v>277</v>
      </c>
      <c r="G59" s="81">
        <v>8.0709999999999997</v>
      </c>
      <c r="H59" s="76" t="s">
        <v>62</v>
      </c>
      <c r="I59" s="70">
        <v>1100000</v>
      </c>
      <c r="J59" s="66" t="s">
        <v>56</v>
      </c>
      <c r="K59" s="56"/>
      <c r="L59" s="115"/>
      <c r="M59" s="2"/>
      <c r="N59" s="2"/>
      <c r="O59" s="2"/>
      <c r="P59" s="2"/>
      <c r="Q59" s="2"/>
      <c r="R59" s="2"/>
      <c r="S59" s="3"/>
      <c r="T59" s="3"/>
      <c r="U59" s="3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</row>
    <row r="60" spans="2:68" s="77" customFormat="1" ht="19.5" customHeight="1" x14ac:dyDescent="0.3">
      <c r="B60" s="66" t="s">
        <v>9</v>
      </c>
      <c r="C60" s="88" t="s">
        <v>281</v>
      </c>
      <c r="D60" s="67">
        <v>120</v>
      </c>
      <c r="E60" s="67"/>
      <c r="F60" s="67" t="s">
        <v>277</v>
      </c>
      <c r="G60" s="81">
        <v>4.0110000000000001</v>
      </c>
      <c r="H60" s="76" t="s">
        <v>62</v>
      </c>
      <c r="I60" s="70">
        <v>1100000</v>
      </c>
      <c r="J60" s="66" t="s">
        <v>56</v>
      </c>
      <c r="K60" s="56"/>
      <c r="L60" s="115"/>
      <c r="M60" s="2"/>
      <c r="N60" s="2"/>
      <c r="O60" s="2"/>
      <c r="P60" s="2"/>
      <c r="Q60" s="2"/>
      <c r="R60" s="2"/>
      <c r="S60" s="3"/>
      <c r="T60" s="3"/>
      <c r="U60" s="3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</row>
    <row r="61" spans="2:68" s="77" customFormat="1" ht="19.5" customHeight="1" x14ac:dyDescent="0.3">
      <c r="B61" s="66" t="s">
        <v>9</v>
      </c>
      <c r="C61" s="88" t="s">
        <v>281</v>
      </c>
      <c r="D61" s="67">
        <v>130</v>
      </c>
      <c r="E61" s="67"/>
      <c r="F61" s="67" t="s">
        <v>277</v>
      </c>
      <c r="G61" s="81">
        <v>3.8050000000000002</v>
      </c>
      <c r="H61" s="76" t="s">
        <v>62</v>
      </c>
      <c r="I61" s="70">
        <v>1100000</v>
      </c>
      <c r="J61" s="66" t="s">
        <v>56</v>
      </c>
      <c r="K61" s="56"/>
      <c r="L61" s="115"/>
      <c r="M61" s="2"/>
      <c r="N61" s="2"/>
      <c r="O61" s="2"/>
      <c r="P61" s="2"/>
      <c r="Q61" s="2"/>
      <c r="R61" s="2"/>
      <c r="S61" s="3"/>
      <c r="T61" s="3"/>
      <c r="U61" s="3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</row>
    <row r="62" spans="2:68" s="77" customFormat="1" ht="19.5" customHeight="1" x14ac:dyDescent="0.3">
      <c r="B62" s="66" t="s">
        <v>9</v>
      </c>
      <c r="C62" s="88" t="s">
        <v>281</v>
      </c>
      <c r="D62" s="67">
        <v>140</v>
      </c>
      <c r="E62" s="67"/>
      <c r="F62" s="67" t="s">
        <v>277</v>
      </c>
      <c r="G62" s="81">
        <v>3.6930000000000001</v>
      </c>
      <c r="H62" s="76" t="s">
        <v>62</v>
      </c>
      <c r="I62" s="70">
        <v>1100000</v>
      </c>
      <c r="J62" s="66" t="s">
        <v>56</v>
      </c>
      <c r="K62" s="56"/>
      <c r="L62" s="115"/>
      <c r="M62" s="2"/>
      <c r="N62" s="2"/>
      <c r="O62" s="2"/>
      <c r="P62" s="2"/>
      <c r="Q62" s="2"/>
      <c r="R62" s="2"/>
      <c r="S62" s="3"/>
      <c r="T62" s="3"/>
      <c r="U62" s="3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</row>
    <row r="63" spans="2:68" s="77" customFormat="1" ht="19.5" customHeight="1" x14ac:dyDescent="0.3">
      <c r="B63" s="66" t="s">
        <v>9</v>
      </c>
      <c r="C63" s="88" t="s">
        <v>281</v>
      </c>
      <c r="D63" s="67">
        <v>150</v>
      </c>
      <c r="E63" s="67"/>
      <c r="F63" s="67" t="s">
        <v>277</v>
      </c>
      <c r="G63" s="81">
        <v>3.9</v>
      </c>
      <c r="H63" s="76" t="s">
        <v>62</v>
      </c>
      <c r="I63" s="70">
        <v>1100000</v>
      </c>
      <c r="J63" s="66" t="s">
        <v>56</v>
      </c>
      <c r="K63" s="56"/>
      <c r="L63" s="115"/>
      <c r="M63" s="2"/>
      <c r="N63" s="2"/>
      <c r="O63" s="2"/>
      <c r="P63" s="2"/>
      <c r="Q63" s="2"/>
      <c r="R63" s="2"/>
      <c r="S63" s="3"/>
      <c r="T63" s="3"/>
      <c r="U63" s="3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</row>
    <row r="64" spans="2:68" s="77" customFormat="1" ht="19.5" customHeight="1" x14ac:dyDescent="0.3">
      <c r="B64" s="66" t="s">
        <v>9</v>
      </c>
      <c r="C64" s="88" t="s">
        <v>281</v>
      </c>
      <c r="D64" s="67">
        <v>160</v>
      </c>
      <c r="E64" s="67"/>
      <c r="F64" s="67" t="s">
        <v>277</v>
      </c>
      <c r="G64" s="81">
        <v>3.9470000000000001</v>
      </c>
      <c r="H64" s="76" t="s">
        <v>62</v>
      </c>
      <c r="I64" s="70">
        <v>1100000</v>
      </c>
      <c r="J64" s="66" t="s">
        <v>56</v>
      </c>
      <c r="K64" s="56"/>
      <c r="L64" s="115"/>
      <c r="M64" s="2"/>
      <c r="N64" s="2"/>
      <c r="O64" s="2"/>
      <c r="P64" s="2"/>
      <c r="Q64" s="2"/>
      <c r="R64" s="2"/>
      <c r="S64" s="3"/>
      <c r="T64" s="3"/>
      <c r="U64" s="3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</row>
    <row r="65" spans="2:68" s="77" customFormat="1" ht="19.5" customHeight="1" x14ac:dyDescent="0.3">
      <c r="B65" s="66" t="s">
        <v>9</v>
      </c>
      <c r="C65" s="88" t="s">
        <v>281</v>
      </c>
      <c r="D65" s="67">
        <v>170</v>
      </c>
      <c r="E65" s="67"/>
      <c r="F65" s="67" t="s">
        <v>277</v>
      </c>
      <c r="G65" s="81">
        <v>3.673</v>
      </c>
      <c r="H65" s="76" t="s">
        <v>62</v>
      </c>
      <c r="I65" s="70">
        <v>1100000</v>
      </c>
      <c r="J65" s="66" t="s">
        <v>56</v>
      </c>
      <c r="K65" s="56"/>
      <c r="L65" s="115"/>
      <c r="M65" s="2"/>
      <c r="N65" s="2"/>
      <c r="O65" s="2"/>
      <c r="P65" s="2"/>
      <c r="Q65" s="2"/>
      <c r="R65" s="2"/>
      <c r="S65" s="3"/>
      <c r="T65" s="3"/>
      <c r="U65" s="3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</row>
    <row r="66" spans="2:68" s="77" customFormat="1" ht="19.5" customHeight="1" x14ac:dyDescent="0.3">
      <c r="B66" s="66" t="s">
        <v>9</v>
      </c>
      <c r="C66" s="88" t="s">
        <v>281</v>
      </c>
      <c r="D66" s="67">
        <v>180</v>
      </c>
      <c r="E66" s="67"/>
      <c r="F66" s="67" t="s">
        <v>277</v>
      </c>
      <c r="G66" s="81">
        <v>3.9969999999999999</v>
      </c>
      <c r="H66" s="76" t="s">
        <v>62</v>
      </c>
      <c r="I66" s="70">
        <v>1100000</v>
      </c>
      <c r="J66" s="66" t="s">
        <v>56</v>
      </c>
      <c r="K66" s="56"/>
      <c r="L66" s="115"/>
      <c r="M66" s="2"/>
      <c r="N66" s="2"/>
      <c r="O66" s="2"/>
      <c r="P66" s="2"/>
      <c r="Q66" s="2"/>
      <c r="R66" s="2"/>
      <c r="S66" s="3"/>
      <c r="T66" s="3"/>
      <c r="U66" s="3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</row>
    <row r="67" spans="2:68" s="77" customFormat="1" ht="19.5" customHeight="1" x14ac:dyDescent="0.3">
      <c r="B67" s="66" t="s">
        <v>9</v>
      </c>
      <c r="C67" s="88" t="s">
        <v>281</v>
      </c>
      <c r="D67" s="67">
        <v>200</v>
      </c>
      <c r="E67" s="67"/>
      <c r="F67" s="67" t="s">
        <v>277</v>
      </c>
      <c r="G67" s="81">
        <v>3.919</v>
      </c>
      <c r="H67" s="76" t="s">
        <v>62</v>
      </c>
      <c r="I67" s="70">
        <v>1100000</v>
      </c>
      <c r="J67" s="66" t="s">
        <v>56</v>
      </c>
      <c r="K67" s="56"/>
      <c r="L67" s="115"/>
      <c r="M67" s="2"/>
      <c r="N67" s="2"/>
      <c r="O67" s="2"/>
      <c r="P67" s="2"/>
      <c r="Q67" s="2"/>
      <c r="R67" s="2"/>
      <c r="S67" s="3"/>
      <c r="T67" s="3"/>
      <c r="U67" s="3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</row>
    <row r="68" spans="2:68" s="77" customFormat="1" ht="19.5" customHeight="1" x14ac:dyDescent="0.3">
      <c r="B68" s="66" t="s">
        <v>9</v>
      </c>
      <c r="C68" s="88" t="s">
        <v>281</v>
      </c>
      <c r="D68" s="67">
        <v>220</v>
      </c>
      <c r="E68" s="67"/>
      <c r="F68" s="67" t="s">
        <v>277</v>
      </c>
      <c r="G68" s="81">
        <v>4.1890000000000001</v>
      </c>
      <c r="H68" s="76" t="s">
        <v>62</v>
      </c>
      <c r="I68" s="70">
        <v>1100000</v>
      </c>
      <c r="J68" s="66" t="s">
        <v>56</v>
      </c>
      <c r="K68" s="56"/>
      <c r="L68" s="115"/>
      <c r="M68" s="2"/>
      <c r="N68" s="2"/>
      <c r="O68" s="2"/>
      <c r="P68" s="2"/>
      <c r="Q68" s="2"/>
      <c r="R68" s="2"/>
      <c r="S68" s="3"/>
      <c r="T68" s="3"/>
      <c r="U68" s="3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</row>
    <row r="69" spans="2:68" s="77" customFormat="1" ht="19.5" customHeight="1" x14ac:dyDescent="0.3">
      <c r="B69" s="66" t="s">
        <v>9</v>
      </c>
      <c r="C69" s="88" t="s">
        <v>264</v>
      </c>
      <c r="D69" s="67">
        <v>45</v>
      </c>
      <c r="E69" s="67"/>
      <c r="F69" s="67" t="s">
        <v>277</v>
      </c>
      <c r="G69" s="81">
        <v>0.39200000000000002</v>
      </c>
      <c r="H69" s="76" t="s">
        <v>58</v>
      </c>
      <c r="I69" s="70">
        <v>1100000</v>
      </c>
      <c r="J69" s="66" t="s">
        <v>56</v>
      </c>
      <c r="K69" s="56"/>
      <c r="L69" s="8"/>
      <c r="M69" s="2"/>
      <c r="N69" s="2"/>
      <c r="O69" s="2"/>
      <c r="P69" s="2"/>
      <c r="Q69" s="2"/>
      <c r="R69" s="2"/>
      <c r="S69" s="3"/>
      <c r="T69" s="3"/>
      <c r="U69" s="3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</row>
    <row r="70" spans="2:68" s="77" customFormat="1" ht="20.25" customHeight="1" x14ac:dyDescent="0.3">
      <c r="B70" s="66" t="s">
        <v>9</v>
      </c>
      <c r="C70" s="88" t="s">
        <v>264</v>
      </c>
      <c r="D70" s="67">
        <v>50</v>
      </c>
      <c r="E70" s="67"/>
      <c r="F70" s="67" t="s">
        <v>277</v>
      </c>
      <c r="G70" s="81">
        <v>0.33600000000000002</v>
      </c>
      <c r="H70" s="76" t="s">
        <v>58</v>
      </c>
      <c r="I70" s="70">
        <v>1100000</v>
      </c>
      <c r="J70" s="66" t="s">
        <v>56</v>
      </c>
      <c r="K70" s="56"/>
      <c r="L70" s="8"/>
      <c r="M70" s="2"/>
      <c r="N70" s="2"/>
      <c r="O70" s="2"/>
      <c r="P70" s="2"/>
      <c r="Q70" s="2"/>
      <c r="R70" s="2"/>
      <c r="S70" s="3"/>
      <c r="T70" s="3"/>
      <c r="U70" s="3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</row>
    <row r="71" spans="2:68" s="77" customFormat="1" ht="21.75" customHeight="1" x14ac:dyDescent="0.3">
      <c r="B71" s="66" t="s">
        <v>9</v>
      </c>
      <c r="C71" s="88" t="s">
        <v>283</v>
      </c>
      <c r="D71" s="67">
        <v>12</v>
      </c>
      <c r="E71" s="66" t="s">
        <v>376</v>
      </c>
      <c r="F71" s="67"/>
      <c r="G71" s="81">
        <v>3.7999999999999999E-2</v>
      </c>
      <c r="H71" s="76"/>
      <c r="I71" s="70">
        <v>1100000</v>
      </c>
      <c r="J71" s="66" t="s">
        <v>56</v>
      </c>
      <c r="K71" s="56"/>
      <c r="L71" s="8"/>
      <c r="M71" s="2"/>
      <c r="N71" s="2"/>
      <c r="O71" s="2"/>
      <c r="P71" s="2"/>
      <c r="Q71" s="2"/>
      <c r="R71" s="2"/>
      <c r="S71" s="3"/>
      <c r="T71" s="3"/>
      <c r="U71" s="3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</row>
    <row r="72" spans="2:68" s="77" customFormat="1" ht="20.25" customHeight="1" x14ac:dyDescent="0.3">
      <c r="B72" s="66" t="s">
        <v>9</v>
      </c>
      <c r="C72" s="88" t="s">
        <v>283</v>
      </c>
      <c r="D72" s="67">
        <v>14</v>
      </c>
      <c r="E72" s="66" t="s">
        <v>376</v>
      </c>
      <c r="F72" s="67"/>
      <c r="G72" s="81">
        <v>2.5000000000000001E-2</v>
      </c>
      <c r="H72" s="76"/>
      <c r="I72" s="70">
        <v>1100000</v>
      </c>
      <c r="J72" s="66" t="s">
        <v>56</v>
      </c>
      <c r="K72" s="56"/>
      <c r="L72" s="8"/>
      <c r="M72" s="2"/>
      <c r="N72" s="2"/>
      <c r="O72" s="2"/>
      <c r="P72" s="2"/>
      <c r="Q72" s="2"/>
      <c r="R72" s="2"/>
      <c r="S72" s="3"/>
      <c r="T72" s="3"/>
      <c r="U72" s="3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</row>
    <row r="73" spans="2:68" s="77" customFormat="1" ht="22.5" customHeight="1" x14ac:dyDescent="0.3">
      <c r="B73" s="66" t="s">
        <v>9</v>
      </c>
      <c r="C73" s="88" t="s">
        <v>283</v>
      </c>
      <c r="D73" s="67">
        <v>16</v>
      </c>
      <c r="E73" s="66" t="s">
        <v>376</v>
      </c>
      <c r="F73" s="67"/>
      <c r="G73" s="81">
        <v>1.4E-2</v>
      </c>
      <c r="H73" s="76"/>
      <c r="I73" s="70">
        <v>1100000</v>
      </c>
      <c r="J73" s="66" t="s">
        <v>56</v>
      </c>
      <c r="K73" s="56"/>
      <c r="L73" s="8"/>
      <c r="M73" s="2"/>
      <c r="N73" s="2"/>
      <c r="O73" s="2"/>
      <c r="P73" s="2"/>
      <c r="Q73" s="2"/>
      <c r="R73" s="2"/>
      <c r="S73" s="3"/>
      <c r="T73" s="3"/>
      <c r="U73" s="3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</row>
    <row r="74" spans="2:68" s="77" customFormat="1" ht="24.75" customHeight="1" x14ac:dyDescent="0.3">
      <c r="B74" s="66" t="s">
        <v>9</v>
      </c>
      <c r="C74" s="88" t="s">
        <v>283</v>
      </c>
      <c r="D74" s="67">
        <v>18</v>
      </c>
      <c r="E74" s="66" t="s">
        <v>376</v>
      </c>
      <c r="F74" s="67"/>
      <c r="G74" s="81">
        <v>0.05</v>
      </c>
      <c r="H74" s="76"/>
      <c r="I74" s="70">
        <v>1100000</v>
      </c>
      <c r="J74" s="66" t="s">
        <v>56</v>
      </c>
      <c r="K74" s="56"/>
      <c r="L74" s="8"/>
      <c r="M74" s="2"/>
      <c r="N74" s="2"/>
      <c r="O74" s="2"/>
      <c r="P74" s="2"/>
      <c r="Q74" s="2"/>
      <c r="R74" s="2"/>
      <c r="S74" s="3"/>
      <c r="T74" s="3"/>
      <c r="U74" s="3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</row>
    <row r="75" spans="2:68" s="77" customFormat="1" ht="24.75" customHeight="1" x14ac:dyDescent="0.3">
      <c r="B75" s="66" t="s">
        <v>9</v>
      </c>
      <c r="C75" s="88" t="s">
        <v>283</v>
      </c>
      <c r="D75" s="67">
        <v>19</v>
      </c>
      <c r="E75" s="66" t="s">
        <v>376</v>
      </c>
      <c r="F75" s="67"/>
      <c r="G75" s="81">
        <v>0.06</v>
      </c>
      <c r="H75" s="76"/>
      <c r="I75" s="70">
        <v>1100000</v>
      </c>
      <c r="J75" s="66" t="s">
        <v>56</v>
      </c>
      <c r="K75" s="56"/>
      <c r="L75" s="8"/>
      <c r="M75" s="2"/>
      <c r="N75" s="2"/>
      <c r="O75" s="2"/>
      <c r="P75" s="2"/>
      <c r="Q75" s="2"/>
      <c r="R75" s="2"/>
      <c r="S75" s="3"/>
      <c r="T75" s="3"/>
      <c r="U75" s="3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</row>
    <row r="76" spans="2:68" s="77" customFormat="1" ht="24.75" customHeight="1" x14ac:dyDescent="0.3">
      <c r="B76" s="66" t="s">
        <v>9</v>
      </c>
      <c r="C76" s="88" t="s">
        <v>283</v>
      </c>
      <c r="D76" s="67">
        <v>20</v>
      </c>
      <c r="E76" s="66" t="s">
        <v>376</v>
      </c>
      <c r="F76" s="67" t="s">
        <v>284</v>
      </c>
      <c r="G76" s="81">
        <v>0.108</v>
      </c>
      <c r="H76" s="76" t="s">
        <v>63</v>
      </c>
      <c r="I76" s="70">
        <v>1100000</v>
      </c>
      <c r="J76" s="66" t="s">
        <v>56</v>
      </c>
      <c r="K76" s="56"/>
      <c r="L76" s="8"/>
      <c r="M76" s="2"/>
      <c r="N76" s="2"/>
      <c r="O76" s="2"/>
      <c r="P76" s="2"/>
      <c r="Q76" s="2"/>
      <c r="R76" s="2"/>
      <c r="S76" s="3"/>
      <c r="T76" s="3"/>
      <c r="U76" s="3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</row>
    <row r="77" spans="2:68" s="77" customFormat="1" ht="24.75" customHeight="1" x14ac:dyDescent="0.3">
      <c r="B77" s="66" t="s">
        <v>9</v>
      </c>
      <c r="C77" s="88" t="s">
        <v>283</v>
      </c>
      <c r="D77" s="67">
        <v>22</v>
      </c>
      <c r="E77" s="66" t="s">
        <v>376</v>
      </c>
      <c r="F77" s="67"/>
      <c r="G77" s="81">
        <v>0.14099999999999999</v>
      </c>
      <c r="H77" s="76"/>
      <c r="I77" s="70">
        <v>1100000</v>
      </c>
      <c r="J77" s="66" t="s">
        <v>56</v>
      </c>
      <c r="K77" s="56"/>
      <c r="L77" s="8"/>
      <c r="M77" s="2"/>
      <c r="N77" s="2"/>
      <c r="O77" s="2"/>
      <c r="P77" s="2"/>
      <c r="Q77" s="2"/>
      <c r="R77" s="2"/>
      <c r="S77" s="3"/>
      <c r="T77" s="3"/>
      <c r="U77" s="3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</row>
    <row r="78" spans="2:68" s="77" customFormat="1" ht="19.5" customHeight="1" x14ac:dyDescent="0.3">
      <c r="B78" s="66" t="s">
        <v>9</v>
      </c>
      <c r="C78" s="88" t="s">
        <v>283</v>
      </c>
      <c r="D78" s="67">
        <v>25</v>
      </c>
      <c r="E78" s="66" t="s">
        <v>376</v>
      </c>
      <c r="F78" s="67" t="s">
        <v>284</v>
      </c>
      <c r="G78" s="81">
        <v>0.161</v>
      </c>
      <c r="H78" s="76" t="s">
        <v>63</v>
      </c>
      <c r="I78" s="70">
        <v>1100000</v>
      </c>
      <c r="J78" s="66" t="s">
        <v>56</v>
      </c>
      <c r="K78" s="56"/>
      <c r="L78" s="8"/>
      <c r="M78" s="2"/>
      <c r="N78" s="2"/>
      <c r="O78" s="2"/>
      <c r="P78" s="2"/>
      <c r="Q78" s="2"/>
      <c r="R78" s="2"/>
      <c r="S78" s="3"/>
      <c r="T78" s="3"/>
      <c r="U78" s="3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</row>
    <row r="79" spans="2:68" s="77" customFormat="1" ht="19.5" customHeight="1" x14ac:dyDescent="0.3">
      <c r="B79" s="66" t="s">
        <v>9</v>
      </c>
      <c r="C79" s="88" t="s">
        <v>283</v>
      </c>
      <c r="D79" s="67">
        <v>28</v>
      </c>
      <c r="E79" s="66" t="s">
        <v>376</v>
      </c>
      <c r="F79" s="67"/>
      <c r="G79" s="81">
        <v>0.16800000000000001</v>
      </c>
      <c r="H79" s="76"/>
      <c r="I79" s="70">
        <v>1100000</v>
      </c>
      <c r="J79" s="66" t="s">
        <v>56</v>
      </c>
      <c r="K79" s="56"/>
      <c r="L79" s="8"/>
      <c r="M79" s="2"/>
      <c r="N79" s="2"/>
      <c r="O79" s="2"/>
      <c r="P79" s="2"/>
      <c r="Q79" s="2"/>
      <c r="R79" s="2"/>
      <c r="S79" s="3"/>
      <c r="T79" s="3"/>
      <c r="U79" s="3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</row>
    <row r="80" spans="2:68" s="77" customFormat="1" ht="19.5" customHeight="1" x14ac:dyDescent="0.3">
      <c r="B80" s="66" t="s">
        <v>9</v>
      </c>
      <c r="C80" s="88" t="s">
        <v>283</v>
      </c>
      <c r="D80" s="67">
        <v>30</v>
      </c>
      <c r="E80" s="66" t="s">
        <v>376</v>
      </c>
      <c r="F80" s="67" t="s">
        <v>284</v>
      </c>
      <c r="G80" s="81">
        <v>0.59599999999999997</v>
      </c>
      <c r="H80" s="76" t="s">
        <v>63</v>
      </c>
      <c r="I80" s="70">
        <v>1100000</v>
      </c>
      <c r="J80" s="66" t="s">
        <v>56</v>
      </c>
      <c r="K80" s="56"/>
      <c r="L80" s="8"/>
      <c r="M80" s="2"/>
      <c r="N80" s="2"/>
      <c r="O80" s="2"/>
      <c r="P80" s="2"/>
      <c r="Q80" s="2"/>
      <c r="R80" s="2"/>
      <c r="S80" s="3"/>
      <c r="T80" s="3"/>
      <c r="U80" s="3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</row>
    <row r="81" spans="2:68" s="77" customFormat="1" ht="19.5" customHeight="1" x14ac:dyDescent="0.3">
      <c r="B81" s="66" t="s">
        <v>9</v>
      </c>
      <c r="C81" s="88" t="s">
        <v>283</v>
      </c>
      <c r="D81" s="67">
        <v>32</v>
      </c>
      <c r="E81" s="66" t="s">
        <v>376</v>
      </c>
      <c r="F81" s="67"/>
      <c r="G81" s="81">
        <v>6.2E-2</v>
      </c>
      <c r="H81" s="76"/>
      <c r="I81" s="70">
        <v>1100000</v>
      </c>
      <c r="J81" s="66" t="s">
        <v>56</v>
      </c>
      <c r="K81" s="56"/>
      <c r="L81" s="8"/>
      <c r="M81" s="2"/>
      <c r="N81" s="2"/>
      <c r="O81" s="2"/>
      <c r="P81" s="2"/>
      <c r="Q81" s="2"/>
      <c r="R81" s="2"/>
      <c r="S81" s="3"/>
      <c r="T81" s="3"/>
      <c r="U81" s="3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</row>
    <row r="82" spans="2:68" s="77" customFormat="1" ht="19.5" customHeight="1" x14ac:dyDescent="0.3">
      <c r="B82" s="66" t="s">
        <v>9</v>
      </c>
      <c r="C82" s="88" t="s">
        <v>283</v>
      </c>
      <c r="D82" s="67">
        <v>35</v>
      </c>
      <c r="E82" s="66" t="s">
        <v>376</v>
      </c>
      <c r="F82" s="67" t="s">
        <v>284</v>
      </c>
      <c r="G82" s="81">
        <v>0.57999999999999996</v>
      </c>
      <c r="H82" s="76" t="s">
        <v>63</v>
      </c>
      <c r="I82" s="70">
        <v>1100000</v>
      </c>
      <c r="J82" s="66" t="s">
        <v>56</v>
      </c>
      <c r="K82" s="56"/>
      <c r="L82" s="8"/>
      <c r="M82" s="2"/>
      <c r="N82" s="2"/>
      <c r="O82" s="2"/>
      <c r="P82" s="2"/>
      <c r="Q82" s="2"/>
      <c r="R82" s="2"/>
      <c r="S82" s="3"/>
      <c r="T82" s="3"/>
      <c r="U82" s="3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</row>
    <row r="83" spans="2:68" s="77" customFormat="1" ht="19.5" customHeight="1" x14ac:dyDescent="0.3">
      <c r="B83" s="66" t="s">
        <v>9</v>
      </c>
      <c r="C83" s="88" t="s">
        <v>283</v>
      </c>
      <c r="D83" s="67">
        <v>40</v>
      </c>
      <c r="E83" s="66" t="s">
        <v>376</v>
      </c>
      <c r="F83" s="67" t="s">
        <v>284</v>
      </c>
      <c r="G83" s="81">
        <v>0.44500000000000001</v>
      </c>
      <c r="H83" s="76" t="s">
        <v>63</v>
      </c>
      <c r="I83" s="70">
        <v>1100000</v>
      </c>
      <c r="J83" s="66" t="s">
        <v>56</v>
      </c>
      <c r="K83" s="56"/>
      <c r="L83" s="8"/>
      <c r="M83" s="2"/>
      <c r="N83" s="2"/>
      <c r="O83" s="2"/>
      <c r="P83" s="2"/>
      <c r="Q83" s="2"/>
      <c r="R83" s="2"/>
      <c r="S83" s="3"/>
      <c r="T83" s="3"/>
      <c r="U83" s="3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</row>
    <row r="84" spans="2:68" s="77" customFormat="1" ht="19.5" customHeight="1" x14ac:dyDescent="0.3">
      <c r="B84" s="66" t="s">
        <v>26</v>
      </c>
      <c r="C84" s="88" t="s">
        <v>283</v>
      </c>
      <c r="D84" s="67">
        <v>14</v>
      </c>
      <c r="E84" s="66" t="s">
        <v>376</v>
      </c>
      <c r="F84" s="67"/>
      <c r="G84" s="81">
        <v>1E-3</v>
      </c>
      <c r="H84" s="76"/>
      <c r="I84" s="70">
        <v>1100000</v>
      </c>
      <c r="J84" s="66" t="s">
        <v>56</v>
      </c>
      <c r="K84" s="56"/>
      <c r="L84" s="8"/>
      <c r="M84" s="2"/>
      <c r="N84" s="2"/>
      <c r="O84" s="2"/>
      <c r="P84" s="2"/>
      <c r="Q84" s="2"/>
      <c r="R84" s="2"/>
      <c r="S84" s="3"/>
      <c r="T84" s="3"/>
      <c r="U84" s="3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</row>
    <row r="85" spans="2:68" s="77" customFormat="1" ht="19.5" customHeight="1" x14ac:dyDescent="0.3">
      <c r="B85" s="66" t="s">
        <v>26</v>
      </c>
      <c r="C85" s="88" t="s">
        <v>283</v>
      </c>
      <c r="D85" s="67">
        <v>22</v>
      </c>
      <c r="E85" s="66" t="s">
        <v>376</v>
      </c>
      <c r="F85" s="67"/>
      <c r="G85" s="81">
        <v>8.9999999999999993E-3</v>
      </c>
      <c r="H85" s="76"/>
      <c r="I85" s="70">
        <v>1100000</v>
      </c>
      <c r="J85" s="66" t="s">
        <v>56</v>
      </c>
      <c r="K85" s="56"/>
      <c r="L85" s="8"/>
      <c r="M85" s="2"/>
      <c r="N85" s="2"/>
      <c r="O85" s="2"/>
      <c r="P85" s="2"/>
      <c r="Q85" s="2"/>
      <c r="R85" s="2"/>
      <c r="S85" s="3"/>
      <c r="T85" s="3"/>
      <c r="U85" s="3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</row>
    <row r="86" spans="2:68" s="77" customFormat="1" ht="19.5" customHeight="1" x14ac:dyDescent="0.3">
      <c r="B86" s="66" t="s">
        <v>26</v>
      </c>
      <c r="C86" s="88" t="s">
        <v>283</v>
      </c>
      <c r="D86" s="67">
        <v>24</v>
      </c>
      <c r="E86" s="66" t="s">
        <v>376</v>
      </c>
      <c r="F86" s="67" t="s">
        <v>285</v>
      </c>
      <c r="G86" s="81">
        <v>0.55300000000000005</v>
      </c>
      <c r="H86" s="76" t="s">
        <v>63</v>
      </c>
      <c r="I86" s="70">
        <v>1100000</v>
      </c>
      <c r="J86" s="66" t="s">
        <v>56</v>
      </c>
      <c r="K86" s="56"/>
      <c r="L86" s="8"/>
      <c r="M86" s="2"/>
      <c r="N86" s="2"/>
      <c r="O86" s="2"/>
      <c r="P86" s="2"/>
      <c r="Q86" s="2"/>
      <c r="R86" s="2"/>
      <c r="S86" s="3"/>
      <c r="T86" s="3"/>
      <c r="U86" s="3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</row>
    <row r="87" spans="2:68" s="77" customFormat="1" ht="19.5" customHeight="1" x14ac:dyDescent="0.3">
      <c r="B87" s="66" t="s">
        <v>26</v>
      </c>
      <c r="C87" s="88" t="s">
        <v>283</v>
      </c>
      <c r="D87" s="67">
        <v>27</v>
      </c>
      <c r="E87" s="66" t="s">
        <v>376</v>
      </c>
      <c r="F87" s="67" t="s">
        <v>285</v>
      </c>
      <c r="G87" s="81">
        <v>0.58099999999999996</v>
      </c>
      <c r="H87" s="76" t="s">
        <v>63</v>
      </c>
      <c r="I87" s="70">
        <v>1100000</v>
      </c>
      <c r="J87" s="66" t="s">
        <v>56</v>
      </c>
      <c r="K87" s="56"/>
      <c r="L87" s="8"/>
      <c r="M87" s="2"/>
      <c r="N87" s="2"/>
      <c r="O87" s="2"/>
      <c r="P87" s="2"/>
      <c r="Q87" s="2"/>
      <c r="R87" s="2"/>
      <c r="S87" s="3"/>
      <c r="T87" s="3"/>
      <c r="U87" s="3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</row>
    <row r="88" spans="2:68" s="77" customFormat="1" ht="19.5" customHeight="1" x14ac:dyDescent="0.3">
      <c r="B88" s="66" t="s">
        <v>26</v>
      </c>
      <c r="C88" s="88" t="s">
        <v>283</v>
      </c>
      <c r="D88" s="67">
        <v>30</v>
      </c>
      <c r="E88" s="66" t="s">
        <v>376</v>
      </c>
      <c r="F88" s="67" t="s">
        <v>285</v>
      </c>
      <c r="G88" s="81">
        <v>0.16800000000000001</v>
      </c>
      <c r="H88" s="76" t="s">
        <v>63</v>
      </c>
      <c r="I88" s="70">
        <v>1100000</v>
      </c>
      <c r="J88" s="66" t="s">
        <v>56</v>
      </c>
      <c r="K88" s="56"/>
      <c r="L88" s="8"/>
      <c r="M88" s="2"/>
      <c r="N88" s="2"/>
      <c r="O88" s="2"/>
      <c r="P88" s="2"/>
      <c r="Q88" s="2"/>
      <c r="R88" s="2"/>
      <c r="S88" s="3"/>
      <c r="T88" s="3"/>
      <c r="U88" s="3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</row>
    <row r="89" spans="2:68" s="77" customFormat="1" ht="19.5" customHeight="1" x14ac:dyDescent="0.3">
      <c r="B89" s="66" t="s">
        <v>26</v>
      </c>
      <c r="C89" s="88" t="s">
        <v>283</v>
      </c>
      <c r="D89" s="67">
        <v>32</v>
      </c>
      <c r="E89" s="66" t="s">
        <v>376</v>
      </c>
      <c r="F89" s="67" t="s">
        <v>285</v>
      </c>
      <c r="G89" s="81">
        <v>0.02</v>
      </c>
      <c r="H89" s="76" t="s">
        <v>63</v>
      </c>
      <c r="I89" s="70">
        <v>1100000</v>
      </c>
      <c r="J89" s="66" t="s">
        <v>56</v>
      </c>
      <c r="K89" s="56"/>
      <c r="L89" s="8"/>
      <c r="M89" s="2"/>
      <c r="N89" s="2"/>
      <c r="O89" s="2"/>
      <c r="P89" s="2"/>
      <c r="Q89" s="2"/>
      <c r="R89" s="2"/>
      <c r="S89" s="3"/>
      <c r="T89" s="3"/>
      <c r="U89" s="3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</row>
    <row r="90" spans="2:68" s="77" customFormat="1" ht="19.5" customHeight="1" x14ac:dyDescent="0.3">
      <c r="B90" s="66" t="s">
        <v>26</v>
      </c>
      <c r="C90" s="88" t="s">
        <v>283</v>
      </c>
      <c r="D90" s="67">
        <v>36</v>
      </c>
      <c r="E90" s="66" t="s">
        <v>376</v>
      </c>
      <c r="F90" s="67"/>
      <c r="G90" s="81">
        <v>3.5000000000000003E-2</v>
      </c>
      <c r="H90" s="76"/>
      <c r="I90" s="70">
        <v>1100000</v>
      </c>
      <c r="J90" s="66" t="s">
        <v>56</v>
      </c>
      <c r="K90" s="56"/>
      <c r="L90" s="8"/>
      <c r="M90" s="2"/>
      <c r="N90" s="2"/>
      <c r="O90" s="2"/>
      <c r="P90" s="2"/>
      <c r="Q90" s="2"/>
      <c r="R90" s="2"/>
      <c r="S90" s="3"/>
      <c r="T90" s="3"/>
      <c r="U90" s="3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</row>
    <row r="91" spans="2:68" s="77" customFormat="1" ht="19.5" customHeight="1" x14ac:dyDescent="0.3">
      <c r="B91" s="66" t="s">
        <v>26</v>
      </c>
      <c r="C91" s="88" t="s">
        <v>283</v>
      </c>
      <c r="D91" s="67">
        <v>41</v>
      </c>
      <c r="E91" s="66" t="s">
        <v>376</v>
      </c>
      <c r="F91" s="67" t="s">
        <v>286</v>
      </c>
      <c r="G91" s="81">
        <v>2.5999999999999999E-2</v>
      </c>
      <c r="H91" s="76" t="s">
        <v>115</v>
      </c>
      <c r="I91" s="70">
        <v>1100000</v>
      </c>
      <c r="J91" s="66" t="s">
        <v>56</v>
      </c>
      <c r="K91" s="56"/>
      <c r="L91" s="8"/>
      <c r="M91" s="2"/>
      <c r="N91" s="2"/>
      <c r="O91" s="2"/>
      <c r="P91" s="2"/>
      <c r="Q91" s="2"/>
      <c r="R91" s="2"/>
      <c r="S91" s="3"/>
      <c r="T91" s="3"/>
      <c r="U91" s="3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8"/>
      <c r="BN91" s="78"/>
      <c r="BO91" s="78"/>
      <c r="BP91" s="78"/>
    </row>
    <row r="92" spans="2:68" s="2" customFormat="1" ht="19.5" customHeight="1" x14ac:dyDescent="0.3">
      <c r="B92" s="26" t="s">
        <v>54</v>
      </c>
      <c r="C92" s="41" t="s">
        <v>172</v>
      </c>
      <c r="D92" s="27">
        <v>12</v>
      </c>
      <c r="E92" s="27"/>
      <c r="F92" s="27" t="s">
        <v>214</v>
      </c>
      <c r="G92" s="30">
        <v>0.38</v>
      </c>
      <c r="H92" s="28"/>
      <c r="I92" s="38">
        <v>490000</v>
      </c>
      <c r="J92" s="26" t="s">
        <v>56</v>
      </c>
      <c r="K92" s="14"/>
      <c r="L92" s="8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</row>
    <row r="93" spans="2:68" s="2" customFormat="1" ht="19.5" customHeight="1" x14ac:dyDescent="0.3">
      <c r="B93" s="26" t="s">
        <v>54</v>
      </c>
      <c r="C93" s="41" t="s">
        <v>172</v>
      </c>
      <c r="D93" s="27">
        <v>16</v>
      </c>
      <c r="E93" s="27"/>
      <c r="F93" s="27" t="s">
        <v>214</v>
      </c>
      <c r="G93" s="30">
        <v>0.35199999999999998</v>
      </c>
      <c r="H93" s="28"/>
      <c r="I93" s="38">
        <v>490000</v>
      </c>
      <c r="J93" s="26" t="s">
        <v>56</v>
      </c>
      <c r="K93" s="14"/>
      <c r="L93" s="8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2:68" s="2" customFormat="1" ht="19.5" customHeight="1" x14ac:dyDescent="0.3">
      <c r="B94" s="26" t="s">
        <v>54</v>
      </c>
      <c r="C94" s="41" t="s">
        <v>172</v>
      </c>
      <c r="D94" s="27">
        <v>80</v>
      </c>
      <c r="E94" s="27" t="s">
        <v>401</v>
      </c>
      <c r="F94" s="27" t="s">
        <v>214</v>
      </c>
      <c r="G94" s="30">
        <v>5.5E-2</v>
      </c>
      <c r="H94" s="28"/>
      <c r="I94" s="38">
        <v>490000</v>
      </c>
      <c r="J94" s="26" t="s">
        <v>56</v>
      </c>
      <c r="K94" s="14"/>
      <c r="L94" s="8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</row>
    <row r="95" spans="2:68" s="3" customFormat="1" ht="19.5" customHeight="1" x14ac:dyDescent="0.3">
      <c r="B95" s="26" t="s">
        <v>54</v>
      </c>
      <c r="C95" s="41" t="s">
        <v>195</v>
      </c>
      <c r="D95" s="27">
        <v>52</v>
      </c>
      <c r="E95" s="27"/>
      <c r="F95" s="27" t="s">
        <v>255</v>
      </c>
      <c r="G95" s="30">
        <v>3.3690000000000002</v>
      </c>
      <c r="H95" s="28" t="s">
        <v>58</v>
      </c>
      <c r="I95" s="38">
        <v>410000</v>
      </c>
      <c r="J95" s="26" t="s">
        <v>56</v>
      </c>
      <c r="K95" s="12"/>
      <c r="L95" s="10"/>
    </row>
    <row r="96" spans="2:68" s="3" customFormat="1" ht="19.5" customHeight="1" x14ac:dyDescent="0.3">
      <c r="B96" s="26" t="s">
        <v>54</v>
      </c>
      <c r="C96" s="41" t="s">
        <v>195</v>
      </c>
      <c r="D96" s="27">
        <v>80</v>
      </c>
      <c r="E96" s="27"/>
      <c r="F96" s="27" t="s">
        <v>236</v>
      </c>
      <c r="G96" s="30">
        <v>1.0960000000000001</v>
      </c>
      <c r="H96" s="28" t="s">
        <v>62</v>
      </c>
      <c r="I96" s="38">
        <v>430000</v>
      </c>
      <c r="J96" s="26" t="s">
        <v>56</v>
      </c>
      <c r="K96" s="12"/>
      <c r="L96" s="10"/>
    </row>
    <row r="97" spans="2:68" s="3" customFormat="1" ht="19.5" customHeight="1" x14ac:dyDescent="0.3">
      <c r="B97" s="26" t="s">
        <v>54</v>
      </c>
      <c r="C97" s="41" t="s">
        <v>195</v>
      </c>
      <c r="D97" s="27">
        <v>90</v>
      </c>
      <c r="E97" s="27"/>
      <c r="F97" s="27" t="s">
        <v>236</v>
      </c>
      <c r="G97" s="30">
        <v>2.5880000000000001</v>
      </c>
      <c r="H97" s="28" t="s">
        <v>62</v>
      </c>
      <c r="I97" s="38">
        <v>430000</v>
      </c>
      <c r="J97" s="26" t="s">
        <v>56</v>
      </c>
      <c r="K97" s="12"/>
      <c r="L97" s="10"/>
    </row>
    <row r="98" spans="2:68" s="3" customFormat="1" ht="19.5" customHeight="1" x14ac:dyDescent="0.3">
      <c r="B98" s="26" t="s">
        <v>54</v>
      </c>
      <c r="C98" s="41" t="s">
        <v>195</v>
      </c>
      <c r="D98" s="27">
        <v>100</v>
      </c>
      <c r="E98" s="27"/>
      <c r="F98" s="27" t="s">
        <v>236</v>
      </c>
      <c r="G98" s="30">
        <v>4.9210000000000003</v>
      </c>
      <c r="H98" s="28" t="s">
        <v>62</v>
      </c>
      <c r="I98" s="38">
        <v>460000</v>
      </c>
      <c r="J98" s="26" t="s">
        <v>56</v>
      </c>
      <c r="K98" s="12"/>
      <c r="L98" s="10"/>
    </row>
    <row r="99" spans="2:68" s="2" customFormat="1" ht="19.5" customHeight="1" x14ac:dyDescent="0.3">
      <c r="B99" s="26" t="s">
        <v>54</v>
      </c>
      <c r="C99" s="41" t="s">
        <v>156</v>
      </c>
      <c r="D99" s="27">
        <v>150</v>
      </c>
      <c r="E99" s="27"/>
      <c r="F99" s="27" t="s">
        <v>173</v>
      </c>
      <c r="G99" s="30">
        <v>0.2</v>
      </c>
      <c r="H99" s="28" t="s">
        <v>62</v>
      </c>
      <c r="I99" s="38">
        <v>430000</v>
      </c>
      <c r="J99" s="26" t="s">
        <v>56</v>
      </c>
      <c r="K99" s="14"/>
      <c r="L99" s="8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</row>
    <row r="100" spans="2:68" s="2" customFormat="1" ht="19.5" customHeight="1" x14ac:dyDescent="0.3">
      <c r="B100" s="26" t="s">
        <v>54</v>
      </c>
      <c r="C100" s="41" t="s">
        <v>156</v>
      </c>
      <c r="D100" s="27">
        <v>160</v>
      </c>
      <c r="E100" s="27"/>
      <c r="F100" s="27" t="s">
        <v>173</v>
      </c>
      <c r="G100" s="30">
        <v>2.0409999999999999</v>
      </c>
      <c r="H100" s="28" t="s">
        <v>62</v>
      </c>
      <c r="I100" s="38">
        <v>430000</v>
      </c>
      <c r="J100" s="26" t="s">
        <v>56</v>
      </c>
      <c r="K100" s="14"/>
      <c r="L100" s="8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</row>
    <row r="101" spans="2:68" s="3" customFormat="1" ht="19.5" customHeight="1" x14ac:dyDescent="0.3">
      <c r="B101" s="26" t="s">
        <v>9</v>
      </c>
      <c r="C101" s="41" t="s">
        <v>72</v>
      </c>
      <c r="D101" s="27">
        <v>26</v>
      </c>
      <c r="E101" s="27"/>
      <c r="F101" s="27" t="s">
        <v>205</v>
      </c>
      <c r="G101" s="30">
        <v>6.0999999999999999E-2</v>
      </c>
      <c r="H101" s="28" t="s">
        <v>58</v>
      </c>
      <c r="I101" s="38">
        <v>1390000</v>
      </c>
      <c r="J101" s="29" t="s">
        <v>56</v>
      </c>
      <c r="K101" s="14"/>
      <c r="L101" s="8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</row>
    <row r="102" spans="2:68" s="3" customFormat="1" ht="19.5" customHeight="1" x14ac:dyDescent="0.3">
      <c r="B102" s="26" t="s">
        <v>9</v>
      </c>
      <c r="C102" s="41" t="s">
        <v>77</v>
      </c>
      <c r="D102" s="27">
        <v>120</v>
      </c>
      <c r="E102" s="27"/>
      <c r="F102" s="27" t="s">
        <v>78</v>
      </c>
      <c r="G102" s="30">
        <v>0.12</v>
      </c>
      <c r="H102" s="28" t="s">
        <v>63</v>
      </c>
      <c r="I102" s="38">
        <v>4890000</v>
      </c>
      <c r="J102" s="29" t="s">
        <v>56</v>
      </c>
      <c r="K102" s="12"/>
      <c r="L102" s="10"/>
    </row>
    <row r="103" spans="2:68" s="3" customFormat="1" ht="19.5" customHeight="1" x14ac:dyDescent="0.3">
      <c r="B103" s="26" t="s">
        <v>9</v>
      </c>
      <c r="C103" s="27" t="s">
        <v>218</v>
      </c>
      <c r="D103" s="27">
        <v>45</v>
      </c>
      <c r="E103" s="27"/>
      <c r="F103" s="27" t="s">
        <v>94</v>
      </c>
      <c r="G103" s="30">
        <v>0.41699999999999998</v>
      </c>
      <c r="H103" s="28" t="s">
        <v>95</v>
      </c>
      <c r="I103" s="38">
        <v>790000</v>
      </c>
      <c r="J103" s="29" t="s">
        <v>56</v>
      </c>
      <c r="K103" s="12"/>
      <c r="L103" s="10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</row>
    <row r="104" spans="2:68" s="3" customFormat="1" ht="19.5" customHeight="1" x14ac:dyDescent="0.3">
      <c r="B104" s="26" t="s">
        <v>9</v>
      </c>
      <c r="C104" s="27" t="s">
        <v>28</v>
      </c>
      <c r="D104" s="27">
        <v>16</v>
      </c>
      <c r="E104" s="27"/>
      <c r="F104" s="27" t="s">
        <v>164</v>
      </c>
      <c r="G104" s="30">
        <v>1.351</v>
      </c>
      <c r="H104" s="28" t="s">
        <v>61</v>
      </c>
      <c r="I104" s="38">
        <v>590000</v>
      </c>
      <c r="J104" s="29" t="s">
        <v>56</v>
      </c>
      <c r="K104" s="12"/>
      <c r="L104" s="10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</row>
    <row r="105" spans="2:68" s="3" customFormat="1" ht="19.5" customHeight="1" x14ac:dyDescent="0.3">
      <c r="B105" s="26" t="s">
        <v>9</v>
      </c>
      <c r="C105" s="27" t="s">
        <v>28</v>
      </c>
      <c r="D105" s="27">
        <v>25</v>
      </c>
      <c r="E105" s="27"/>
      <c r="F105" s="27" t="s">
        <v>193</v>
      </c>
      <c r="G105" s="30">
        <v>0.436</v>
      </c>
      <c r="H105" s="28" t="s">
        <v>61</v>
      </c>
      <c r="I105" s="38">
        <v>590000</v>
      </c>
      <c r="J105" s="29" t="s">
        <v>192</v>
      </c>
      <c r="K105" s="12"/>
      <c r="L105" s="10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</row>
    <row r="106" spans="2:68" s="3" customFormat="1" ht="19.5" customHeight="1" x14ac:dyDescent="0.3">
      <c r="B106" s="73" t="s">
        <v>9</v>
      </c>
      <c r="C106" s="74" t="s">
        <v>28</v>
      </c>
      <c r="D106" s="74">
        <v>30</v>
      </c>
      <c r="E106" s="74"/>
      <c r="F106" s="74" t="s">
        <v>193</v>
      </c>
      <c r="G106" s="95">
        <v>1.6359999999999999</v>
      </c>
      <c r="H106" s="79" t="s">
        <v>58</v>
      </c>
      <c r="I106" s="75">
        <v>590000</v>
      </c>
      <c r="J106" s="66" t="s">
        <v>56</v>
      </c>
      <c r="K106" s="116"/>
      <c r="L106" s="10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</row>
    <row r="107" spans="2:68" s="3" customFormat="1" ht="19.5" customHeight="1" x14ac:dyDescent="0.3">
      <c r="B107" s="26" t="s">
        <v>9</v>
      </c>
      <c r="C107" s="27" t="s">
        <v>28</v>
      </c>
      <c r="D107" s="27">
        <v>30</v>
      </c>
      <c r="E107" s="27"/>
      <c r="F107" s="27" t="s">
        <v>193</v>
      </c>
      <c r="G107" s="30">
        <v>1.2929999999999999</v>
      </c>
      <c r="H107" s="28" t="s">
        <v>61</v>
      </c>
      <c r="I107" s="38">
        <v>590000</v>
      </c>
      <c r="J107" s="29" t="s">
        <v>192</v>
      </c>
      <c r="K107" s="12"/>
      <c r="L107" s="10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</row>
    <row r="108" spans="2:68" s="3" customFormat="1" ht="19.5" customHeight="1" x14ac:dyDescent="0.3">
      <c r="B108" s="26" t="s">
        <v>9</v>
      </c>
      <c r="C108" s="27" t="s">
        <v>28</v>
      </c>
      <c r="D108" s="27">
        <v>36</v>
      </c>
      <c r="E108" s="27"/>
      <c r="F108" s="27" t="s">
        <v>193</v>
      </c>
      <c r="G108" s="30">
        <v>0.93400000000000005</v>
      </c>
      <c r="H108" s="28" t="s">
        <v>61</v>
      </c>
      <c r="I108" s="38">
        <v>590000</v>
      </c>
      <c r="J108" s="29" t="s">
        <v>192</v>
      </c>
      <c r="K108" s="12"/>
      <c r="L108" s="10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</row>
    <row r="109" spans="2:68" s="3" customFormat="1" ht="19.5" customHeight="1" x14ac:dyDescent="0.3">
      <c r="B109" s="83" t="s">
        <v>9</v>
      </c>
      <c r="C109" s="84" t="s">
        <v>28</v>
      </c>
      <c r="D109" s="84">
        <v>50</v>
      </c>
      <c r="E109" s="84"/>
      <c r="F109" s="74" t="s">
        <v>390</v>
      </c>
      <c r="G109" s="85">
        <v>3.6539999999999999</v>
      </c>
      <c r="H109" s="86" t="s">
        <v>60</v>
      </c>
      <c r="I109" s="92">
        <v>590000</v>
      </c>
      <c r="J109" s="66" t="s">
        <v>56</v>
      </c>
      <c r="K109" s="12"/>
      <c r="L109" s="10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</row>
    <row r="110" spans="2:68" s="3" customFormat="1" ht="19.5" customHeight="1" x14ac:dyDescent="0.3">
      <c r="B110" s="83" t="s">
        <v>9</v>
      </c>
      <c r="C110" s="84" t="s">
        <v>28</v>
      </c>
      <c r="D110" s="84">
        <v>60</v>
      </c>
      <c r="E110" s="84"/>
      <c r="F110" s="74" t="s">
        <v>390</v>
      </c>
      <c r="G110" s="85">
        <v>4.2389999999999999</v>
      </c>
      <c r="H110" s="86" t="s">
        <v>60</v>
      </c>
      <c r="I110" s="92">
        <v>398000</v>
      </c>
      <c r="J110" s="66" t="s">
        <v>56</v>
      </c>
      <c r="K110" s="12"/>
      <c r="L110" s="10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</row>
    <row r="111" spans="2:68" s="3" customFormat="1" ht="19.5" customHeight="1" x14ac:dyDescent="0.3">
      <c r="B111" s="83" t="s">
        <v>9</v>
      </c>
      <c r="C111" s="84" t="s">
        <v>28</v>
      </c>
      <c r="D111" s="84">
        <v>70</v>
      </c>
      <c r="E111" s="84"/>
      <c r="F111" s="84" t="s">
        <v>326</v>
      </c>
      <c r="G111" s="85">
        <v>2.4169999999999998</v>
      </c>
      <c r="H111" s="86" t="s">
        <v>62</v>
      </c>
      <c r="I111" s="92">
        <v>398000</v>
      </c>
      <c r="J111" s="66" t="s">
        <v>56</v>
      </c>
      <c r="K111" s="56"/>
      <c r="L111" s="10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</row>
    <row r="112" spans="2:68" s="3" customFormat="1" ht="19.5" customHeight="1" x14ac:dyDescent="0.3">
      <c r="B112" s="83" t="s">
        <v>9</v>
      </c>
      <c r="C112" s="84" t="s">
        <v>28</v>
      </c>
      <c r="D112" s="84">
        <v>80</v>
      </c>
      <c r="E112" s="84"/>
      <c r="F112" s="84" t="s">
        <v>326</v>
      </c>
      <c r="G112" s="85">
        <v>4.43</v>
      </c>
      <c r="H112" s="86" t="s">
        <v>60</v>
      </c>
      <c r="I112" s="92">
        <v>398000</v>
      </c>
      <c r="J112" s="66" t="s">
        <v>56</v>
      </c>
      <c r="K112" s="56"/>
      <c r="L112" s="10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</row>
    <row r="113" spans="2:68" s="2" customFormat="1" ht="19.5" customHeight="1" x14ac:dyDescent="0.3">
      <c r="B113" s="26" t="s">
        <v>9</v>
      </c>
      <c r="C113" s="27" t="s">
        <v>28</v>
      </c>
      <c r="D113" s="27">
        <v>80</v>
      </c>
      <c r="E113" s="27"/>
      <c r="F113" s="27" t="s">
        <v>135</v>
      </c>
      <c r="G113" s="30">
        <v>0.22800000000000001</v>
      </c>
      <c r="H113" s="28" t="s">
        <v>62</v>
      </c>
      <c r="I113" s="38">
        <v>398000</v>
      </c>
      <c r="J113" s="29" t="s">
        <v>56</v>
      </c>
      <c r="K113" s="12"/>
      <c r="L113" s="10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</row>
    <row r="114" spans="2:68" s="2" customFormat="1" ht="19.5" customHeight="1" x14ac:dyDescent="0.3">
      <c r="B114" s="26" t="s">
        <v>9</v>
      </c>
      <c r="C114" s="27" t="s">
        <v>28</v>
      </c>
      <c r="D114" s="27">
        <v>80</v>
      </c>
      <c r="E114" s="27" t="s">
        <v>408</v>
      </c>
      <c r="F114" s="27" t="s">
        <v>266</v>
      </c>
      <c r="G114" s="30">
        <v>1.133</v>
      </c>
      <c r="H114" s="28" t="s">
        <v>62</v>
      </c>
      <c r="I114" s="38">
        <v>398000</v>
      </c>
      <c r="J114" s="29" t="s">
        <v>56</v>
      </c>
      <c r="K114" s="12"/>
      <c r="L114" s="10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</row>
    <row r="115" spans="2:68" s="2" customFormat="1" ht="19.5" customHeight="1" x14ac:dyDescent="0.3">
      <c r="B115" s="26" t="s">
        <v>9</v>
      </c>
      <c r="C115" s="27" t="s">
        <v>28</v>
      </c>
      <c r="D115" s="27">
        <v>100</v>
      </c>
      <c r="E115" s="27" t="s">
        <v>409</v>
      </c>
      <c r="F115" s="27" t="s">
        <v>135</v>
      </c>
      <c r="G115" s="30">
        <v>4.5199999999999996</v>
      </c>
      <c r="H115" s="28" t="s">
        <v>62</v>
      </c>
      <c r="I115" s="38">
        <v>398000</v>
      </c>
      <c r="J115" s="29" t="s">
        <v>56</v>
      </c>
      <c r="K115" s="12" t="s">
        <v>268</v>
      </c>
      <c r="L115" s="10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</row>
    <row r="116" spans="2:68" s="2" customFormat="1" ht="19.5" customHeight="1" x14ac:dyDescent="0.3">
      <c r="B116" s="26" t="s">
        <v>9</v>
      </c>
      <c r="C116" s="27" t="s">
        <v>28</v>
      </c>
      <c r="D116" s="27">
        <v>120</v>
      </c>
      <c r="E116" s="27" t="s">
        <v>410</v>
      </c>
      <c r="F116" s="27" t="s">
        <v>135</v>
      </c>
      <c r="G116" s="30">
        <v>6.01</v>
      </c>
      <c r="H116" s="28" t="s">
        <v>62</v>
      </c>
      <c r="I116" s="38">
        <v>398000</v>
      </c>
      <c r="J116" s="29" t="s">
        <v>56</v>
      </c>
      <c r="K116" s="12" t="s">
        <v>267</v>
      </c>
      <c r="L116" s="10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</row>
    <row r="117" spans="2:68" s="2" customFormat="1" ht="19.5" customHeight="1" x14ac:dyDescent="0.3">
      <c r="B117" s="26" t="s">
        <v>9</v>
      </c>
      <c r="C117" s="27" t="s">
        <v>28</v>
      </c>
      <c r="D117" s="27">
        <v>130</v>
      </c>
      <c r="E117" s="27"/>
      <c r="F117" s="27" t="s">
        <v>135</v>
      </c>
      <c r="G117" s="30">
        <v>2.6280000000000001</v>
      </c>
      <c r="H117" s="28" t="s">
        <v>62</v>
      </c>
      <c r="I117" s="38">
        <v>398000</v>
      </c>
      <c r="J117" s="29" t="s">
        <v>56</v>
      </c>
      <c r="K117" s="12"/>
      <c r="L117" s="10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</row>
    <row r="118" spans="2:68" s="2" customFormat="1" ht="19.5" customHeight="1" x14ac:dyDescent="0.3">
      <c r="B118" s="26" t="s">
        <v>9</v>
      </c>
      <c r="C118" s="27" t="s">
        <v>28</v>
      </c>
      <c r="D118" s="27">
        <v>140</v>
      </c>
      <c r="E118" s="27"/>
      <c r="F118" s="27" t="s">
        <v>135</v>
      </c>
      <c r="G118" s="30">
        <v>0.82199999999999995</v>
      </c>
      <c r="H118" s="28" t="s">
        <v>62</v>
      </c>
      <c r="I118" s="38">
        <v>398000</v>
      </c>
      <c r="J118" s="29" t="s">
        <v>56</v>
      </c>
      <c r="K118" s="12"/>
      <c r="L118" s="10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</row>
    <row r="119" spans="2:68" s="2" customFormat="1" ht="19.5" customHeight="1" x14ac:dyDescent="0.3">
      <c r="B119" s="26" t="s">
        <v>9</v>
      </c>
      <c r="C119" s="27" t="s">
        <v>28</v>
      </c>
      <c r="D119" s="27">
        <v>150</v>
      </c>
      <c r="E119" s="27"/>
      <c r="F119" s="27" t="s">
        <v>196</v>
      </c>
      <c r="G119" s="30">
        <v>5.875</v>
      </c>
      <c r="H119" s="28" t="s">
        <v>62</v>
      </c>
      <c r="I119" s="38">
        <v>398000</v>
      </c>
      <c r="J119" s="29" t="s">
        <v>56</v>
      </c>
      <c r="K119" s="12"/>
      <c r="L119" s="10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</row>
    <row r="120" spans="2:68" s="2" customFormat="1" ht="19.5" customHeight="1" x14ac:dyDescent="0.3">
      <c r="B120" s="26" t="s">
        <v>9</v>
      </c>
      <c r="C120" s="27" t="s">
        <v>28</v>
      </c>
      <c r="D120" s="27">
        <v>160</v>
      </c>
      <c r="E120" s="27"/>
      <c r="F120" s="27" t="s">
        <v>135</v>
      </c>
      <c r="G120" s="30">
        <v>4.8600000000000003</v>
      </c>
      <c r="H120" s="28" t="s">
        <v>62</v>
      </c>
      <c r="I120" s="38">
        <v>398000</v>
      </c>
      <c r="J120" s="29" t="s">
        <v>56</v>
      </c>
      <c r="K120" s="12"/>
      <c r="L120" s="10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</row>
    <row r="121" spans="2:68" s="2" customFormat="1" ht="19.5" customHeight="1" x14ac:dyDescent="0.3">
      <c r="B121" s="26" t="s">
        <v>9</v>
      </c>
      <c r="C121" s="27" t="s">
        <v>28</v>
      </c>
      <c r="D121" s="27">
        <v>170</v>
      </c>
      <c r="E121" s="27"/>
      <c r="F121" s="27" t="s">
        <v>135</v>
      </c>
      <c r="G121" s="30">
        <v>1.47</v>
      </c>
      <c r="H121" s="28" t="s">
        <v>62</v>
      </c>
      <c r="I121" s="38">
        <v>398000</v>
      </c>
      <c r="J121" s="29" t="s">
        <v>56</v>
      </c>
      <c r="K121" s="12"/>
      <c r="L121" s="10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</row>
    <row r="122" spans="2:68" s="2" customFormat="1" ht="19.5" customHeight="1" x14ac:dyDescent="0.3">
      <c r="B122" s="26" t="s">
        <v>9</v>
      </c>
      <c r="C122" s="27" t="s">
        <v>28</v>
      </c>
      <c r="D122" s="27">
        <v>180</v>
      </c>
      <c r="E122" s="27"/>
      <c r="F122" s="27" t="s">
        <v>196</v>
      </c>
      <c r="G122" s="30">
        <v>8.9480000000000004</v>
      </c>
      <c r="H122" s="28" t="s">
        <v>62</v>
      </c>
      <c r="I122" s="38">
        <v>398000</v>
      </c>
      <c r="J122" s="29" t="s">
        <v>56</v>
      </c>
      <c r="K122" s="12"/>
      <c r="L122" s="10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  <row r="123" spans="2:68" s="2" customFormat="1" ht="19.5" customHeight="1" x14ac:dyDescent="0.3">
      <c r="B123" s="26" t="s">
        <v>9</v>
      </c>
      <c r="C123" s="27" t="s">
        <v>28</v>
      </c>
      <c r="D123" s="27">
        <v>190</v>
      </c>
      <c r="E123" s="27"/>
      <c r="F123" s="27" t="s">
        <v>135</v>
      </c>
      <c r="G123" s="30">
        <v>0.77700000000000002</v>
      </c>
      <c r="H123" s="28" t="s">
        <v>62</v>
      </c>
      <c r="I123" s="38">
        <v>398000</v>
      </c>
      <c r="J123" s="29" t="s">
        <v>56</v>
      </c>
      <c r="K123" s="12"/>
      <c r="L123" s="10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</row>
    <row r="124" spans="2:68" s="93" customFormat="1" ht="19.5" customHeight="1" x14ac:dyDescent="0.3">
      <c r="B124" s="83" t="s">
        <v>9</v>
      </c>
      <c r="C124" s="84" t="s">
        <v>28</v>
      </c>
      <c r="D124" s="84">
        <v>210</v>
      </c>
      <c r="E124" s="84"/>
      <c r="F124" s="84" t="s">
        <v>338</v>
      </c>
      <c r="G124" s="85">
        <v>7.12</v>
      </c>
      <c r="H124" s="86" t="s">
        <v>62</v>
      </c>
      <c r="I124" s="92">
        <v>398000</v>
      </c>
      <c r="J124" s="66" t="s">
        <v>56</v>
      </c>
      <c r="K124" s="56"/>
      <c r="L124" s="10"/>
      <c r="M124" s="3"/>
      <c r="N124" s="3"/>
      <c r="O124" s="3"/>
      <c r="P124" s="3"/>
      <c r="Q124" s="3"/>
      <c r="R124" s="3"/>
      <c r="S124" s="3"/>
      <c r="T124" s="3"/>
      <c r="U124" s="3"/>
      <c r="V124" s="110"/>
      <c r="W124" s="110"/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110"/>
      <c r="AO124" s="110"/>
      <c r="AP124" s="110"/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  <c r="BI124" s="110"/>
      <c r="BJ124" s="110"/>
      <c r="BK124" s="110"/>
      <c r="BL124" s="110"/>
      <c r="BM124" s="110"/>
      <c r="BN124" s="110"/>
      <c r="BO124" s="110"/>
      <c r="BP124" s="110"/>
    </row>
    <row r="125" spans="2:68" s="93" customFormat="1" ht="19.5" customHeight="1" x14ac:dyDescent="0.3">
      <c r="B125" s="83" t="s">
        <v>9</v>
      </c>
      <c r="C125" s="84" t="s">
        <v>28</v>
      </c>
      <c r="D125" s="84">
        <v>230</v>
      </c>
      <c r="E125" s="84"/>
      <c r="F125" s="84" t="s">
        <v>326</v>
      </c>
      <c r="G125" s="85">
        <v>4.375</v>
      </c>
      <c r="H125" s="86" t="s">
        <v>62</v>
      </c>
      <c r="I125" s="92">
        <v>398000</v>
      </c>
      <c r="J125" s="66" t="s">
        <v>56</v>
      </c>
      <c r="K125" s="56"/>
      <c r="L125" s="10"/>
      <c r="M125" s="3"/>
      <c r="N125" s="3"/>
      <c r="O125" s="3"/>
      <c r="P125" s="3"/>
      <c r="Q125" s="3"/>
      <c r="R125" s="3"/>
      <c r="S125" s="3"/>
      <c r="T125" s="3"/>
      <c r="U125" s="3"/>
      <c r="V125" s="110"/>
      <c r="W125" s="110"/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110"/>
      <c r="AO125" s="110"/>
      <c r="AP125" s="110"/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  <c r="BI125" s="110"/>
      <c r="BJ125" s="110"/>
      <c r="BK125" s="110"/>
      <c r="BL125" s="110"/>
      <c r="BM125" s="110"/>
      <c r="BN125" s="110"/>
      <c r="BO125" s="110"/>
      <c r="BP125" s="110"/>
    </row>
    <row r="126" spans="2:68" s="93" customFormat="1" ht="19.5" customHeight="1" x14ac:dyDescent="0.3">
      <c r="B126" s="83" t="s">
        <v>9</v>
      </c>
      <c r="C126" s="84" t="s">
        <v>28</v>
      </c>
      <c r="D126" s="84">
        <v>230</v>
      </c>
      <c r="E126" s="84"/>
      <c r="F126" s="84" t="s">
        <v>326</v>
      </c>
      <c r="G126" s="85">
        <v>0.42799999999999999</v>
      </c>
      <c r="H126" s="86" t="s">
        <v>60</v>
      </c>
      <c r="I126" s="92">
        <v>398000</v>
      </c>
      <c r="J126" s="66" t="s">
        <v>56</v>
      </c>
      <c r="K126" s="56"/>
      <c r="L126" s="10"/>
      <c r="M126" s="3"/>
      <c r="N126" s="3"/>
      <c r="O126" s="3"/>
      <c r="P126" s="3"/>
      <c r="Q126" s="3"/>
      <c r="R126" s="3"/>
      <c r="S126" s="3"/>
      <c r="T126" s="3"/>
      <c r="U126" s="3"/>
      <c r="V126" s="110"/>
      <c r="W126" s="110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  <c r="BI126" s="110"/>
      <c r="BJ126" s="110"/>
      <c r="BK126" s="110"/>
      <c r="BL126" s="110"/>
      <c r="BM126" s="110"/>
      <c r="BN126" s="110"/>
      <c r="BO126" s="110"/>
      <c r="BP126" s="110"/>
    </row>
    <row r="127" spans="2:68" s="93" customFormat="1" ht="19.5" customHeight="1" x14ac:dyDescent="0.3">
      <c r="B127" s="83" t="s">
        <v>9</v>
      </c>
      <c r="C127" s="84" t="s">
        <v>28</v>
      </c>
      <c r="D127" s="84">
        <v>250</v>
      </c>
      <c r="E127" s="84"/>
      <c r="F127" s="84" t="s">
        <v>326</v>
      </c>
      <c r="G127" s="85">
        <v>3.7</v>
      </c>
      <c r="H127" s="86" t="s">
        <v>60</v>
      </c>
      <c r="I127" s="92">
        <v>398000</v>
      </c>
      <c r="J127" s="66" t="s">
        <v>56</v>
      </c>
      <c r="K127" s="56"/>
      <c r="L127" s="10"/>
      <c r="M127" s="3"/>
      <c r="N127" s="3"/>
      <c r="O127" s="3"/>
      <c r="P127" s="3"/>
      <c r="Q127" s="3"/>
      <c r="R127" s="3"/>
      <c r="S127" s="3"/>
      <c r="T127" s="3"/>
      <c r="U127" s="3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0"/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  <c r="BI127" s="110"/>
      <c r="BJ127" s="110"/>
      <c r="BK127" s="110"/>
      <c r="BL127" s="110"/>
      <c r="BM127" s="110"/>
      <c r="BN127" s="110"/>
      <c r="BO127" s="110"/>
      <c r="BP127" s="110"/>
    </row>
    <row r="128" spans="2:68" s="3" customFormat="1" ht="19.5" customHeight="1" x14ac:dyDescent="0.3">
      <c r="B128" s="26" t="s">
        <v>9</v>
      </c>
      <c r="C128" s="27" t="s">
        <v>55</v>
      </c>
      <c r="D128" s="27">
        <v>12</v>
      </c>
      <c r="E128" s="27"/>
      <c r="F128" s="27" t="s">
        <v>80</v>
      </c>
      <c r="G128" s="30">
        <v>7.5999999999999998E-2</v>
      </c>
      <c r="H128" s="28" t="s">
        <v>63</v>
      </c>
      <c r="I128" s="38">
        <v>540000</v>
      </c>
      <c r="J128" s="29" t="s">
        <v>56</v>
      </c>
      <c r="K128" s="12"/>
      <c r="L128" s="10"/>
    </row>
    <row r="129" spans="2:68" s="3" customFormat="1" ht="19.5" customHeight="1" x14ac:dyDescent="0.3">
      <c r="B129" s="26" t="s">
        <v>9</v>
      </c>
      <c r="C129" s="27" t="s">
        <v>0</v>
      </c>
      <c r="D129" s="27">
        <v>20</v>
      </c>
      <c r="E129" s="27" t="s">
        <v>377</v>
      </c>
      <c r="F129" s="27" t="s">
        <v>52</v>
      </c>
      <c r="G129" s="30">
        <v>0.11600000000000001</v>
      </c>
      <c r="H129" s="32" t="s">
        <v>63</v>
      </c>
      <c r="I129" s="39">
        <v>430000</v>
      </c>
      <c r="J129" s="29" t="s">
        <v>56</v>
      </c>
      <c r="K129" s="14"/>
      <c r="L129" s="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</row>
    <row r="130" spans="2:68" s="3" customFormat="1" ht="19.5" customHeight="1" x14ac:dyDescent="0.3">
      <c r="B130" s="26" t="s">
        <v>9</v>
      </c>
      <c r="C130" s="27" t="s">
        <v>0</v>
      </c>
      <c r="D130" s="27">
        <v>20</v>
      </c>
      <c r="E130" s="27" t="s">
        <v>378</v>
      </c>
      <c r="F130" s="27" t="s">
        <v>52</v>
      </c>
      <c r="G130" s="30">
        <v>3.9E-2</v>
      </c>
      <c r="H130" s="32" t="s">
        <v>63</v>
      </c>
      <c r="I130" s="39"/>
      <c r="J130" s="29"/>
      <c r="K130" s="14"/>
      <c r="L130" s="8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</row>
    <row r="131" spans="2:68" s="3" customFormat="1" ht="19.5" customHeight="1" x14ac:dyDescent="0.3">
      <c r="B131" s="26" t="s">
        <v>9</v>
      </c>
      <c r="C131" s="27" t="s">
        <v>0</v>
      </c>
      <c r="D131" s="27">
        <v>22</v>
      </c>
      <c r="E131" s="27"/>
      <c r="F131" s="27" t="s">
        <v>52</v>
      </c>
      <c r="G131" s="30">
        <v>1.054</v>
      </c>
      <c r="H131" s="32" t="s">
        <v>60</v>
      </c>
      <c r="I131" s="39">
        <v>430000</v>
      </c>
      <c r="J131" s="29" t="s">
        <v>56</v>
      </c>
      <c r="K131" s="14"/>
      <c r="L131" s="8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</row>
    <row r="132" spans="2:68" s="2" customFormat="1" ht="19.5" customHeight="1" x14ac:dyDescent="0.3">
      <c r="B132" s="26" t="s">
        <v>9</v>
      </c>
      <c r="C132" s="27" t="s">
        <v>0</v>
      </c>
      <c r="D132" s="27">
        <v>25</v>
      </c>
      <c r="E132" s="27"/>
      <c r="F132" s="27" t="s">
        <v>38</v>
      </c>
      <c r="G132" s="30">
        <v>1.218</v>
      </c>
      <c r="H132" s="32" t="s">
        <v>64</v>
      </c>
      <c r="I132" s="39">
        <v>430000</v>
      </c>
      <c r="J132" s="29" t="s">
        <v>56</v>
      </c>
      <c r="K132" s="14"/>
      <c r="L132" s="8"/>
    </row>
    <row r="133" spans="2:68" s="2" customFormat="1" ht="19.5" customHeight="1" x14ac:dyDescent="0.3">
      <c r="B133" s="26" t="s">
        <v>9</v>
      </c>
      <c r="C133" s="27" t="s">
        <v>0</v>
      </c>
      <c r="D133" s="27">
        <v>25</v>
      </c>
      <c r="E133" s="27"/>
      <c r="F133" s="27" t="s">
        <v>52</v>
      </c>
      <c r="G133" s="30">
        <v>0.3</v>
      </c>
      <c r="H133" s="32" t="s">
        <v>63</v>
      </c>
      <c r="I133" s="39">
        <v>430000</v>
      </c>
      <c r="J133" s="29" t="s">
        <v>56</v>
      </c>
      <c r="K133" s="14"/>
      <c r="L133" s="8"/>
    </row>
    <row r="134" spans="2:68" s="2" customFormat="1" ht="19.5" customHeight="1" x14ac:dyDescent="0.3">
      <c r="B134" s="26" t="s">
        <v>9</v>
      </c>
      <c r="C134" s="27" t="s">
        <v>0</v>
      </c>
      <c r="D134" s="27">
        <v>32</v>
      </c>
      <c r="E134" s="27"/>
      <c r="F134" s="27" t="s">
        <v>108</v>
      </c>
      <c r="G134" s="30">
        <v>7.4999999999999997E-2</v>
      </c>
      <c r="H134" s="32" t="s">
        <v>60</v>
      </c>
      <c r="I134" s="39">
        <v>430000</v>
      </c>
      <c r="J134" s="29" t="s">
        <v>56</v>
      </c>
      <c r="K134" s="14"/>
      <c r="L134" s="8"/>
    </row>
    <row r="135" spans="2:68" s="2" customFormat="1" ht="19.5" customHeight="1" x14ac:dyDescent="0.3">
      <c r="B135" s="26" t="s">
        <v>9</v>
      </c>
      <c r="C135" s="27" t="s">
        <v>0</v>
      </c>
      <c r="D135" s="27">
        <v>36</v>
      </c>
      <c r="E135" s="27"/>
      <c r="F135" s="27" t="s">
        <v>45</v>
      </c>
      <c r="G135" s="30">
        <v>3.57</v>
      </c>
      <c r="H135" s="32" t="s">
        <v>61</v>
      </c>
      <c r="I135" s="39">
        <v>430000</v>
      </c>
      <c r="J135" s="29" t="s">
        <v>56</v>
      </c>
      <c r="K135" s="14"/>
      <c r="L135" s="8"/>
    </row>
    <row r="136" spans="2:68" s="2" customFormat="1" ht="18.75" customHeight="1" x14ac:dyDescent="0.3">
      <c r="B136" s="26" t="s">
        <v>9</v>
      </c>
      <c r="C136" s="27" t="s">
        <v>0</v>
      </c>
      <c r="D136" s="27">
        <v>40</v>
      </c>
      <c r="E136" s="27"/>
      <c r="F136" s="27" t="s">
        <v>45</v>
      </c>
      <c r="G136" s="30">
        <v>8.5999999999999993E-2</v>
      </c>
      <c r="H136" s="32" t="s">
        <v>61</v>
      </c>
      <c r="I136" s="39">
        <v>430000</v>
      </c>
      <c r="J136" s="29" t="s">
        <v>56</v>
      </c>
      <c r="K136" s="14"/>
      <c r="L136" s="8"/>
    </row>
    <row r="137" spans="2:68" s="2" customFormat="1" ht="19.5" customHeight="1" x14ac:dyDescent="0.3">
      <c r="B137" s="26" t="s">
        <v>9</v>
      </c>
      <c r="C137" s="27" t="s">
        <v>0</v>
      </c>
      <c r="D137" s="27">
        <v>40</v>
      </c>
      <c r="E137" s="27"/>
      <c r="F137" s="27" t="s">
        <v>45</v>
      </c>
      <c r="G137" s="30">
        <v>1.587</v>
      </c>
      <c r="H137" s="32" t="s">
        <v>63</v>
      </c>
      <c r="I137" s="39">
        <v>430000</v>
      </c>
      <c r="J137" s="29" t="s">
        <v>56</v>
      </c>
      <c r="K137" s="14"/>
      <c r="L137" s="8"/>
    </row>
    <row r="138" spans="2:68" s="2" customFormat="1" ht="19.5" customHeight="1" x14ac:dyDescent="0.3">
      <c r="B138" s="26" t="s">
        <v>9</v>
      </c>
      <c r="C138" s="27" t="s">
        <v>0</v>
      </c>
      <c r="D138" s="27">
        <v>42</v>
      </c>
      <c r="E138" s="27"/>
      <c r="F138" s="27" t="s">
        <v>38</v>
      </c>
      <c r="G138" s="30">
        <v>1.1479999999999999</v>
      </c>
      <c r="H138" s="48"/>
      <c r="I138" s="39">
        <v>430000</v>
      </c>
      <c r="J138" s="29" t="s">
        <v>56</v>
      </c>
      <c r="K138" s="12"/>
      <c r="L138" s="10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</row>
    <row r="139" spans="2:68" s="2" customFormat="1" ht="19.5" customHeight="1" x14ac:dyDescent="0.3">
      <c r="B139" s="26" t="s">
        <v>9</v>
      </c>
      <c r="C139" s="27" t="s">
        <v>0</v>
      </c>
      <c r="D139" s="27">
        <v>45</v>
      </c>
      <c r="E139" s="27" t="s">
        <v>379</v>
      </c>
      <c r="F139" s="27"/>
      <c r="G139" s="30">
        <v>0.109</v>
      </c>
      <c r="H139" s="48"/>
      <c r="I139" s="39">
        <v>430000</v>
      </c>
      <c r="J139" s="29"/>
      <c r="K139" s="12"/>
      <c r="L139" s="10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</row>
    <row r="140" spans="2:68" s="2" customFormat="1" ht="19.5" customHeight="1" x14ac:dyDescent="0.3">
      <c r="B140" s="26" t="s">
        <v>9</v>
      </c>
      <c r="C140" s="27" t="s">
        <v>0</v>
      </c>
      <c r="D140" s="27">
        <v>50</v>
      </c>
      <c r="E140" s="27"/>
      <c r="F140" s="27" t="s">
        <v>38</v>
      </c>
      <c r="G140" s="30">
        <v>8.5999999999999993E-2</v>
      </c>
      <c r="H140" s="32" t="s">
        <v>63</v>
      </c>
      <c r="I140" s="39">
        <v>430000</v>
      </c>
      <c r="J140" s="29" t="s">
        <v>56</v>
      </c>
      <c r="K140" s="12"/>
      <c r="L140" s="10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</row>
    <row r="141" spans="2:68" s="3" customFormat="1" ht="19.5" customHeight="1" x14ac:dyDescent="0.3">
      <c r="B141" s="26" t="s">
        <v>9</v>
      </c>
      <c r="C141" s="27" t="s">
        <v>0</v>
      </c>
      <c r="D141" s="27">
        <v>50</v>
      </c>
      <c r="E141" s="27"/>
      <c r="F141" s="27" t="s">
        <v>45</v>
      </c>
      <c r="G141" s="30">
        <v>0.32</v>
      </c>
      <c r="H141" s="32" t="s">
        <v>61</v>
      </c>
      <c r="I141" s="39">
        <v>430000</v>
      </c>
      <c r="J141" s="29" t="s">
        <v>56</v>
      </c>
      <c r="K141" s="14"/>
      <c r="L141" s="8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</row>
    <row r="142" spans="2:68" s="2" customFormat="1" ht="19.5" customHeight="1" x14ac:dyDescent="0.3">
      <c r="B142" s="26" t="s">
        <v>9</v>
      </c>
      <c r="C142" s="27" t="s">
        <v>0</v>
      </c>
      <c r="D142" s="27">
        <v>53</v>
      </c>
      <c r="E142" s="27"/>
      <c r="F142" s="27"/>
      <c r="G142" s="30">
        <v>0.189</v>
      </c>
      <c r="H142" s="31" t="s">
        <v>34</v>
      </c>
      <c r="I142" s="39">
        <v>150000</v>
      </c>
      <c r="J142" s="29" t="s">
        <v>56</v>
      </c>
      <c r="K142" s="14"/>
      <c r="L142" s="8"/>
    </row>
    <row r="143" spans="2:68" s="2" customFormat="1" ht="19.5" customHeight="1" x14ac:dyDescent="0.3">
      <c r="B143" s="26" t="s">
        <v>9</v>
      </c>
      <c r="C143" s="27" t="s">
        <v>0</v>
      </c>
      <c r="D143" s="27">
        <v>55</v>
      </c>
      <c r="E143" s="27"/>
      <c r="F143" s="27"/>
      <c r="G143" s="30">
        <v>0.115</v>
      </c>
      <c r="H143" s="31" t="s">
        <v>34</v>
      </c>
      <c r="I143" s="39">
        <v>150000</v>
      </c>
      <c r="J143" s="29" t="s">
        <v>56</v>
      </c>
      <c r="K143" s="14"/>
      <c r="L143" s="8"/>
    </row>
    <row r="144" spans="2:68" s="2" customFormat="1" ht="19.5" customHeight="1" x14ac:dyDescent="0.3">
      <c r="B144" s="26" t="s">
        <v>9</v>
      </c>
      <c r="C144" s="27" t="s">
        <v>0</v>
      </c>
      <c r="D144" s="27">
        <v>56</v>
      </c>
      <c r="E144" s="27"/>
      <c r="F144" s="27" t="s">
        <v>38</v>
      </c>
      <c r="G144" s="30">
        <v>0.03</v>
      </c>
      <c r="H144" s="32" t="s">
        <v>63</v>
      </c>
      <c r="I144" s="39">
        <v>430000</v>
      </c>
      <c r="J144" s="29" t="s">
        <v>56</v>
      </c>
      <c r="K144" s="14"/>
      <c r="L144" s="8"/>
    </row>
    <row r="145" spans="2:21" s="2" customFormat="1" ht="19.5" customHeight="1" x14ac:dyDescent="0.3">
      <c r="B145" s="26" t="s">
        <v>9</v>
      </c>
      <c r="C145" s="27" t="s">
        <v>0</v>
      </c>
      <c r="D145" s="27">
        <v>60</v>
      </c>
      <c r="E145" s="27"/>
      <c r="F145" s="27" t="s">
        <v>45</v>
      </c>
      <c r="G145" s="30">
        <v>1.782</v>
      </c>
      <c r="H145" s="32" t="s">
        <v>60</v>
      </c>
      <c r="I145" s="39">
        <v>430000</v>
      </c>
      <c r="J145" s="29" t="s">
        <v>56</v>
      </c>
      <c r="K145" s="14"/>
      <c r="L145" s="8"/>
      <c r="P145" s="2" t="s">
        <v>6</v>
      </c>
    </row>
    <row r="146" spans="2:21" s="2" customFormat="1" ht="19.5" customHeight="1" x14ac:dyDescent="0.3">
      <c r="B146" s="26" t="s">
        <v>9</v>
      </c>
      <c r="C146" s="27" t="s">
        <v>0</v>
      </c>
      <c r="D146" s="27">
        <v>60</v>
      </c>
      <c r="E146" s="27"/>
      <c r="F146" s="27" t="s">
        <v>131</v>
      </c>
      <c r="G146" s="30">
        <v>1.2390000000000001</v>
      </c>
      <c r="H146" s="32" t="s">
        <v>62</v>
      </c>
      <c r="I146" s="39">
        <v>470000</v>
      </c>
      <c r="J146" s="29" t="s">
        <v>56</v>
      </c>
      <c r="K146" s="14"/>
      <c r="L146" s="8"/>
    </row>
    <row r="147" spans="2:21" s="2" customFormat="1" ht="19.5" customHeight="1" x14ac:dyDescent="0.3">
      <c r="B147" s="26" t="s">
        <v>9</v>
      </c>
      <c r="C147" s="27" t="s">
        <v>0</v>
      </c>
      <c r="D147" s="27">
        <v>70</v>
      </c>
      <c r="E147" s="27"/>
      <c r="F147" s="27" t="s">
        <v>175</v>
      </c>
      <c r="G147" s="30">
        <v>5.391</v>
      </c>
      <c r="H147" s="32" t="s">
        <v>58</v>
      </c>
      <c r="I147" s="39">
        <v>430000</v>
      </c>
      <c r="J147" s="29" t="s">
        <v>56</v>
      </c>
      <c r="K147" s="12"/>
      <c r="L147" s="8"/>
    </row>
    <row r="148" spans="2:21" s="2" customFormat="1" ht="19.5" customHeight="1" x14ac:dyDescent="0.3">
      <c r="B148" s="26" t="s">
        <v>9</v>
      </c>
      <c r="C148" s="27" t="s">
        <v>0</v>
      </c>
      <c r="D148" s="27">
        <v>80</v>
      </c>
      <c r="E148" s="27"/>
      <c r="F148" s="27" t="s">
        <v>175</v>
      </c>
      <c r="G148" s="30">
        <v>0.38100000000000001</v>
      </c>
      <c r="H148" s="32" t="s">
        <v>58</v>
      </c>
      <c r="I148" s="39">
        <v>430000</v>
      </c>
      <c r="J148" s="29" t="s">
        <v>56</v>
      </c>
      <c r="K148" s="12"/>
      <c r="L148" s="8"/>
    </row>
    <row r="149" spans="2:21" s="3" customFormat="1" ht="19.5" customHeight="1" x14ac:dyDescent="0.3">
      <c r="B149" s="26" t="s">
        <v>9</v>
      </c>
      <c r="C149" s="27" t="s">
        <v>0</v>
      </c>
      <c r="D149" s="27">
        <v>85</v>
      </c>
      <c r="E149" s="27"/>
      <c r="F149" s="27" t="s">
        <v>175</v>
      </c>
      <c r="G149" s="30">
        <v>1.1599999999999999</v>
      </c>
      <c r="H149" s="32" t="s">
        <v>58</v>
      </c>
      <c r="I149" s="39">
        <v>430000</v>
      </c>
      <c r="J149" s="29" t="s">
        <v>56</v>
      </c>
      <c r="K149" s="14"/>
      <c r="L149" s="8"/>
    </row>
    <row r="150" spans="2:21" s="3" customFormat="1" ht="19.5" customHeight="1" x14ac:dyDescent="0.3">
      <c r="B150" s="26" t="s">
        <v>9</v>
      </c>
      <c r="C150" s="27" t="s">
        <v>0</v>
      </c>
      <c r="D150" s="27">
        <v>85</v>
      </c>
      <c r="E150" s="27"/>
      <c r="F150" s="27" t="s">
        <v>260</v>
      </c>
      <c r="G150" s="30">
        <v>3.0739999999999998</v>
      </c>
      <c r="H150" s="32" t="s">
        <v>58</v>
      </c>
      <c r="I150" s="39">
        <v>470000</v>
      </c>
      <c r="J150" s="29" t="s">
        <v>56</v>
      </c>
      <c r="K150" s="14"/>
      <c r="L150" s="8"/>
    </row>
    <row r="151" spans="2:21" s="3" customFormat="1" ht="19.5" customHeight="1" x14ac:dyDescent="0.3">
      <c r="B151" s="26" t="s">
        <v>9</v>
      </c>
      <c r="C151" s="27" t="s">
        <v>0</v>
      </c>
      <c r="D151" s="27">
        <v>90</v>
      </c>
      <c r="E151" s="27"/>
      <c r="F151" s="27" t="s">
        <v>175</v>
      </c>
      <c r="G151" s="30">
        <v>0.77500000000000002</v>
      </c>
      <c r="H151" s="32" t="s">
        <v>58</v>
      </c>
      <c r="I151" s="39">
        <v>430000</v>
      </c>
      <c r="J151" s="29" t="s">
        <v>56</v>
      </c>
      <c r="K151" s="14"/>
      <c r="L151" s="8"/>
    </row>
    <row r="152" spans="2:21" s="3" customFormat="1" ht="19.5" customHeight="1" x14ac:dyDescent="0.3">
      <c r="B152" s="26" t="s">
        <v>9</v>
      </c>
      <c r="C152" s="27" t="s">
        <v>0</v>
      </c>
      <c r="D152" s="27">
        <v>90</v>
      </c>
      <c r="E152" s="27" t="s">
        <v>407</v>
      </c>
      <c r="F152" s="137" t="s">
        <v>406</v>
      </c>
      <c r="G152" s="30">
        <v>0.107</v>
      </c>
      <c r="H152" s="32" t="s">
        <v>58</v>
      </c>
      <c r="I152" s="39">
        <v>470000</v>
      </c>
      <c r="J152" s="29" t="s">
        <v>56</v>
      </c>
      <c r="K152" s="14"/>
      <c r="L152" s="8"/>
    </row>
    <row r="153" spans="2:21" s="3" customFormat="1" ht="19.5" customHeight="1" x14ac:dyDescent="0.3">
      <c r="B153" s="26" t="s">
        <v>9</v>
      </c>
      <c r="C153" s="27" t="s">
        <v>0</v>
      </c>
      <c r="D153" s="27">
        <v>100</v>
      </c>
      <c r="E153" s="27"/>
      <c r="F153" s="27" t="s">
        <v>121</v>
      </c>
      <c r="G153" s="30">
        <v>0.39400000000000002</v>
      </c>
      <c r="H153" s="28" t="s">
        <v>62</v>
      </c>
      <c r="I153" s="39">
        <v>470000</v>
      </c>
      <c r="J153" s="29" t="s">
        <v>56</v>
      </c>
      <c r="K153" s="54"/>
      <c r="L153" s="10"/>
    </row>
    <row r="154" spans="2:21" s="3" customFormat="1" ht="19.5" customHeight="1" x14ac:dyDescent="0.3">
      <c r="B154" s="26" t="s">
        <v>9</v>
      </c>
      <c r="C154" s="27" t="s">
        <v>0</v>
      </c>
      <c r="D154" s="27">
        <v>100</v>
      </c>
      <c r="E154" s="27"/>
      <c r="F154" s="27" t="s">
        <v>175</v>
      </c>
      <c r="G154" s="30">
        <v>3.4140000000000001</v>
      </c>
      <c r="H154" s="28" t="s">
        <v>58</v>
      </c>
      <c r="I154" s="39">
        <v>430000</v>
      </c>
      <c r="J154" s="29" t="s">
        <v>56</v>
      </c>
      <c r="K154" s="65"/>
      <c r="L154" s="10"/>
    </row>
    <row r="155" spans="2:21" s="3" customFormat="1" ht="19.5" customHeight="1" x14ac:dyDescent="0.3">
      <c r="B155" s="26" t="s">
        <v>9</v>
      </c>
      <c r="C155" s="27" t="s">
        <v>0</v>
      </c>
      <c r="D155" s="27">
        <v>100</v>
      </c>
      <c r="E155" s="27" t="s">
        <v>405</v>
      </c>
      <c r="F155" s="27"/>
      <c r="G155" s="30">
        <v>0.10100000000000001</v>
      </c>
      <c r="H155" s="28"/>
      <c r="I155" s="39">
        <v>430000</v>
      </c>
      <c r="J155" s="29" t="s">
        <v>56</v>
      </c>
      <c r="K155" s="65"/>
      <c r="L155" s="10"/>
    </row>
    <row r="156" spans="2:21" s="78" customFormat="1" ht="19.5" customHeight="1" x14ac:dyDescent="0.3">
      <c r="B156" s="66" t="s">
        <v>9</v>
      </c>
      <c r="C156" s="67" t="s">
        <v>0</v>
      </c>
      <c r="D156" s="67">
        <v>100</v>
      </c>
      <c r="E156" s="67"/>
      <c r="F156" s="67"/>
      <c r="G156" s="81">
        <v>0.25600000000000001</v>
      </c>
      <c r="H156" s="76" t="s">
        <v>62</v>
      </c>
      <c r="I156" s="39">
        <v>430000</v>
      </c>
      <c r="J156" s="71" t="s">
        <v>56</v>
      </c>
      <c r="K156" s="117"/>
      <c r="L156" s="10"/>
      <c r="M156" s="3"/>
      <c r="N156" s="3"/>
      <c r="O156" s="3"/>
      <c r="P156" s="3"/>
      <c r="Q156" s="3"/>
      <c r="R156" s="3"/>
      <c r="S156" s="3"/>
      <c r="T156" s="3"/>
      <c r="U156" s="3"/>
    </row>
    <row r="157" spans="2:21" s="3" customFormat="1" ht="19.5" customHeight="1" x14ac:dyDescent="0.3">
      <c r="B157" s="26" t="s">
        <v>9</v>
      </c>
      <c r="C157" s="27" t="s">
        <v>0</v>
      </c>
      <c r="D157" s="27">
        <v>110</v>
      </c>
      <c r="E157" s="27"/>
      <c r="F157" s="27" t="s">
        <v>261</v>
      </c>
      <c r="G157" s="30">
        <v>0.59899999999999998</v>
      </c>
      <c r="H157" s="28" t="s">
        <v>58</v>
      </c>
      <c r="I157" s="39">
        <v>430000</v>
      </c>
      <c r="J157" s="29" t="s">
        <v>56</v>
      </c>
      <c r="K157" s="65"/>
      <c r="L157" s="10"/>
    </row>
    <row r="158" spans="2:21" s="78" customFormat="1" ht="19.5" customHeight="1" x14ac:dyDescent="0.3">
      <c r="B158" s="66" t="s">
        <v>9</v>
      </c>
      <c r="C158" s="67" t="s">
        <v>0</v>
      </c>
      <c r="D158" s="67">
        <v>120</v>
      </c>
      <c r="E158" s="67"/>
      <c r="F158" s="67"/>
      <c r="G158" s="81">
        <v>0.67900000000000005</v>
      </c>
      <c r="H158" s="76"/>
      <c r="I158" s="39">
        <v>430000</v>
      </c>
      <c r="J158" s="71" t="s">
        <v>56</v>
      </c>
      <c r="K158" s="117"/>
      <c r="L158" s="10"/>
      <c r="M158" s="3"/>
      <c r="N158" s="3"/>
      <c r="O158" s="3"/>
      <c r="P158" s="3"/>
      <c r="Q158" s="3"/>
      <c r="R158" s="3"/>
      <c r="S158" s="3"/>
      <c r="T158" s="3"/>
      <c r="U158" s="3"/>
    </row>
    <row r="159" spans="2:21" s="78" customFormat="1" ht="19.5" customHeight="1" x14ac:dyDescent="0.3">
      <c r="B159" s="66" t="s">
        <v>9</v>
      </c>
      <c r="C159" s="67" t="s">
        <v>0</v>
      </c>
      <c r="D159" s="67">
        <v>120</v>
      </c>
      <c r="E159" s="67"/>
      <c r="F159" s="67"/>
      <c r="G159" s="81">
        <v>2.86</v>
      </c>
      <c r="H159" s="76" t="s">
        <v>58</v>
      </c>
      <c r="I159" s="39">
        <v>430000</v>
      </c>
      <c r="J159" s="71" t="s">
        <v>56</v>
      </c>
      <c r="K159" s="117"/>
      <c r="L159" s="10"/>
      <c r="M159" s="3"/>
      <c r="N159" s="3"/>
      <c r="O159" s="3"/>
      <c r="P159" s="3"/>
      <c r="Q159" s="3"/>
      <c r="R159" s="3"/>
      <c r="S159" s="3"/>
      <c r="T159" s="3"/>
      <c r="U159" s="3"/>
    </row>
    <row r="160" spans="2:21" s="78" customFormat="1" ht="19.5" customHeight="1" x14ac:dyDescent="0.3">
      <c r="B160" s="66" t="s">
        <v>9</v>
      </c>
      <c r="C160" s="67" t="s">
        <v>0</v>
      </c>
      <c r="D160" s="67">
        <v>130</v>
      </c>
      <c r="E160" s="67"/>
      <c r="F160" s="67" t="s">
        <v>330</v>
      </c>
      <c r="G160" s="81">
        <v>5.1280000000000001</v>
      </c>
      <c r="H160" s="76" t="s">
        <v>62</v>
      </c>
      <c r="I160" s="75">
        <v>470000</v>
      </c>
      <c r="J160" s="66" t="s">
        <v>56</v>
      </c>
      <c r="K160" s="117"/>
      <c r="L160" s="10"/>
      <c r="M160" s="3"/>
      <c r="N160" s="3"/>
      <c r="O160" s="3"/>
      <c r="P160" s="3"/>
      <c r="Q160" s="3"/>
      <c r="R160" s="3"/>
      <c r="S160" s="3"/>
      <c r="T160" s="3"/>
      <c r="U160" s="3"/>
    </row>
    <row r="161" spans="2:68" s="2" customFormat="1" ht="19.5" customHeight="1" x14ac:dyDescent="0.3">
      <c r="B161" s="26" t="s">
        <v>9</v>
      </c>
      <c r="C161" s="27" t="s">
        <v>0</v>
      </c>
      <c r="D161" s="27">
        <v>170</v>
      </c>
      <c r="E161" s="27"/>
      <c r="F161" s="27" t="s">
        <v>38</v>
      </c>
      <c r="G161" s="30">
        <v>0.51500000000000001</v>
      </c>
      <c r="H161" s="32" t="s">
        <v>62</v>
      </c>
      <c r="I161" s="39">
        <v>430000</v>
      </c>
      <c r="J161" s="29" t="s">
        <v>56</v>
      </c>
      <c r="K161" s="14"/>
      <c r="L161" s="10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</row>
    <row r="162" spans="2:68" s="77" customFormat="1" ht="19.5" customHeight="1" x14ac:dyDescent="0.3">
      <c r="B162" s="66" t="s">
        <v>9</v>
      </c>
      <c r="C162" s="67" t="s">
        <v>0</v>
      </c>
      <c r="D162" s="67">
        <v>170</v>
      </c>
      <c r="E162" s="67"/>
      <c r="F162" s="67"/>
      <c r="G162" s="81">
        <v>0.77100000000000002</v>
      </c>
      <c r="H162" s="79"/>
      <c r="I162" s="39">
        <v>430000</v>
      </c>
      <c r="J162" s="71" t="s">
        <v>56</v>
      </c>
      <c r="K162" s="14"/>
      <c r="L162" s="10"/>
      <c r="M162" s="3"/>
      <c r="N162" s="3"/>
      <c r="O162" s="3"/>
      <c r="P162" s="3"/>
      <c r="Q162" s="3"/>
      <c r="R162" s="3"/>
      <c r="S162" s="3"/>
      <c r="T162" s="3"/>
      <c r="U162" s="3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78"/>
      <c r="BA162" s="78"/>
      <c r="BB162" s="78"/>
      <c r="BC162" s="78"/>
      <c r="BD162" s="78"/>
      <c r="BE162" s="78"/>
      <c r="BF162" s="78"/>
      <c r="BG162" s="78"/>
      <c r="BH162" s="78"/>
      <c r="BI162" s="78"/>
      <c r="BJ162" s="78"/>
      <c r="BK162" s="78"/>
      <c r="BL162" s="78"/>
      <c r="BM162" s="78"/>
      <c r="BN162" s="78"/>
      <c r="BO162" s="78"/>
      <c r="BP162" s="78"/>
    </row>
    <row r="163" spans="2:68" s="77" customFormat="1" ht="19.5" customHeight="1" x14ac:dyDescent="0.3">
      <c r="B163" s="66" t="s">
        <v>9</v>
      </c>
      <c r="C163" s="67" t="s">
        <v>0</v>
      </c>
      <c r="D163" s="67">
        <v>180</v>
      </c>
      <c r="E163" s="67"/>
      <c r="F163" s="67" t="s">
        <v>243</v>
      </c>
      <c r="G163" s="81">
        <v>0.96099999999999997</v>
      </c>
      <c r="H163" s="76" t="s">
        <v>58</v>
      </c>
      <c r="I163" s="39">
        <v>430000</v>
      </c>
      <c r="J163" s="71" t="s">
        <v>56</v>
      </c>
      <c r="K163" s="14"/>
      <c r="L163" s="10"/>
      <c r="M163" s="3"/>
      <c r="N163" s="3"/>
      <c r="O163" s="3"/>
      <c r="P163" s="3"/>
      <c r="Q163" s="3"/>
      <c r="R163" s="3"/>
      <c r="S163" s="3"/>
      <c r="T163" s="3"/>
      <c r="U163" s="3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78"/>
      <c r="AU163" s="78"/>
      <c r="AV163" s="78"/>
      <c r="AW163" s="78"/>
      <c r="AX163" s="78"/>
      <c r="AY163" s="78"/>
      <c r="AZ163" s="78"/>
      <c r="BA163" s="78"/>
      <c r="BB163" s="78"/>
      <c r="BC163" s="78"/>
      <c r="BD163" s="78"/>
      <c r="BE163" s="78"/>
      <c r="BF163" s="78"/>
      <c r="BG163" s="78"/>
      <c r="BH163" s="78"/>
      <c r="BI163" s="78"/>
      <c r="BJ163" s="78"/>
      <c r="BK163" s="78"/>
      <c r="BL163" s="78"/>
      <c r="BM163" s="78"/>
      <c r="BN163" s="78"/>
      <c r="BO163" s="78"/>
      <c r="BP163" s="78"/>
    </row>
    <row r="164" spans="2:68" s="77" customFormat="1" ht="19.5" customHeight="1" x14ac:dyDescent="0.3">
      <c r="B164" s="66" t="s">
        <v>9</v>
      </c>
      <c r="C164" s="67" t="s">
        <v>0</v>
      </c>
      <c r="D164" s="67">
        <v>180</v>
      </c>
      <c r="E164" s="67"/>
      <c r="F164" s="67"/>
      <c r="G164" s="81">
        <v>3.105</v>
      </c>
      <c r="H164" s="79" t="s">
        <v>62</v>
      </c>
      <c r="I164" s="39">
        <v>430000</v>
      </c>
      <c r="J164" s="71" t="s">
        <v>56</v>
      </c>
      <c r="K164" s="14"/>
      <c r="L164" s="10"/>
      <c r="M164" s="3"/>
      <c r="N164" s="3"/>
      <c r="O164" s="3"/>
      <c r="P164" s="3"/>
      <c r="Q164" s="3"/>
      <c r="R164" s="3"/>
      <c r="S164" s="3"/>
      <c r="T164" s="3"/>
      <c r="U164" s="3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78"/>
      <c r="BA164" s="78"/>
      <c r="BB164" s="78"/>
      <c r="BC164" s="78"/>
      <c r="BD164" s="78"/>
      <c r="BE164" s="78"/>
      <c r="BF164" s="78"/>
      <c r="BG164" s="78"/>
      <c r="BH164" s="78"/>
      <c r="BI164" s="78"/>
      <c r="BJ164" s="78"/>
      <c r="BK164" s="78"/>
      <c r="BL164" s="78"/>
      <c r="BM164" s="78"/>
      <c r="BN164" s="78"/>
      <c r="BO164" s="78"/>
      <c r="BP164" s="78"/>
    </row>
    <row r="165" spans="2:68" s="2" customFormat="1" ht="19.5" customHeight="1" x14ac:dyDescent="0.3">
      <c r="B165" s="26" t="s">
        <v>9</v>
      </c>
      <c r="C165" s="27" t="s">
        <v>0</v>
      </c>
      <c r="D165" s="27">
        <v>200</v>
      </c>
      <c r="E165" s="27"/>
      <c r="F165" s="27" t="s">
        <v>176</v>
      </c>
      <c r="G165" s="30">
        <v>2.0920000000000001</v>
      </c>
      <c r="H165" s="32" t="s">
        <v>58</v>
      </c>
      <c r="I165" s="39">
        <v>430000</v>
      </c>
      <c r="J165" s="29" t="s">
        <v>56</v>
      </c>
      <c r="K165" s="14"/>
      <c r="L165" s="10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</row>
    <row r="166" spans="2:68" s="77" customFormat="1" ht="19.5" customHeight="1" x14ac:dyDescent="0.3">
      <c r="B166" s="66" t="s">
        <v>9</v>
      </c>
      <c r="C166" s="67" t="s">
        <v>0</v>
      </c>
      <c r="D166" s="67">
        <v>205</v>
      </c>
      <c r="E166" s="67"/>
      <c r="F166" s="67"/>
      <c r="G166" s="81">
        <v>0.40899999999999997</v>
      </c>
      <c r="H166" s="79"/>
      <c r="I166" s="39">
        <v>430000</v>
      </c>
      <c r="J166" s="71" t="s">
        <v>56</v>
      </c>
      <c r="K166" s="14"/>
      <c r="L166" s="10"/>
      <c r="M166" s="3"/>
      <c r="N166" s="3"/>
      <c r="O166" s="3"/>
      <c r="P166" s="3"/>
      <c r="Q166" s="3"/>
      <c r="R166" s="3"/>
      <c r="S166" s="3"/>
      <c r="T166" s="3"/>
      <c r="U166" s="3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  <c r="AS166" s="78"/>
      <c r="AT166" s="78"/>
      <c r="AU166" s="78"/>
      <c r="AV166" s="78"/>
      <c r="AW166" s="78"/>
      <c r="AX166" s="78"/>
      <c r="AY166" s="78"/>
      <c r="AZ166" s="78"/>
      <c r="BA166" s="78"/>
      <c r="BB166" s="78"/>
      <c r="BC166" s="78"/>
      <c r="BD166" s="78"/>
      <c r="BE166" s="78"/>
      <c r="BF166" s="78"/>
      <c r="BG166" s="78"/>
      <c r="BH166" s="78"/>
      <c r="BI166" s="78"/>
      <c r="BJ166" s="78"/>
      <c r="BK166" s="78"/>
      <c r="BL166" s="78"/>
      <c r="BM166" s="78"/>
      <c r="BN166" s="78"/>
      <c r="BO166" s="78"/>
      <c r="BP166" s="78"/>
    </row>
    <row r="167" spans="2:68" s="77" customFormat="1" ht="19.5" customHeight="1" x14ac:dyDescent="0.3">
      <c r="B167" s="66" t="s">
        <v>9</v>
      </c>
      <c r="C167" s="67" t="s">
        <v>0</v>
      </c>
      <c r="D167" s="67">
        <v>220</v>
      </c>
      <c r="E167" s="67"/>
      <c r="F167" s="67" t="s">
        <v>386</v>
      </c>
      <c r="G167" s="81">
        <v>9.8889999999999993</v>
      </c>
      <c r="H167" s="79" t="s">
        <v>62</v>
      </c>
      <c r="I167" s="75">
        <v>480000</v>
      </c>
      <c r="J167" s="71" t="s">
        <v>56</v>
      </c>
      <c r="K167" s="14"/>
      <c r="L167" s="10"/>
      <c r="M167" s="3"/>
      <c r="N167" s="3"/>
      <c r="O167" s="3"/>
      <c r="P167" s="3"/>
      <c r="Q167" s="3"/>
      <c r="R167" s="3"/>
      <c r="S167" s="3"/>
      <c r="T167" s="3"/>
      <c r="U167" s="3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  <c r="AU167" s="78"/>
      <c r="AV167" s="78"/>
      <c r="AW167" s="78"/>
      <c r="AX167" s="78"/>
      <c r="AY167" s="78"/>
      <c r="AZ167" s="78"/>
      <c r="BA167" s="78"/>
      <c r="BB167" s="78"/>
      <c r="BC167" s="78"/>
      <c r="BD167" s="78"/>
      <c r="BE167" s="78"/>
      <c r="BF167" s="78"/>
      <c r="BG167" s="78"/>
      <c r="BH167" s="78"/>
      <c r="BI167" s="78"/>
      <c r="BJ167" s="78"/>
      <c r="BK167" s="78"/>
      <c r="BL167" s="78"/>
      <c r="BM167" s="78"/>
      <c r="BN167" s="78"/>
      <c r="BO167" s="78"/>
      <c r="BP167" s="78"/>
    </row>
    <row r="168" spans="2:68" s="3" customFormat="1" ht="19.5" customHeight="1" x14ac:dyDescent="0.3">
      <c r="B168" s="26" t="s">
        <v>9</v>
      </c>
      <c r="C168" s="27" t="s">
        <v>0</v>
      </c>
      <c r="D168" s="27">
        <v>250</v>
      </c>
      <c r="E168" s="27"/>
      <c r="F168" s="27" t="s">
        <v>176</v>
      </c>
      <c r="G168" s="30">
        <v>2.7869999999999999</v>
      </c>
      <c r="H168" s="32" t="s">
        <v>58</v>
      </c>
      <c r="I168" s="75">
        <v>480000</v>
      </c>
      <c r="J168" s="29" t="s">
        <v>56</v>
      </c>
      <c r="K168" s="14"/>
      <c r="L168" s="10"/>
    </row>
    <row r="169" spans="2:68" s="3" customFormat="1" ht="19.5" customHeight="1" x14ac:dyDescent="0.3">
      <c r="B169" s="66" t="s">
        <v>9</v>
      </c>
      <c r="C169" s="67" t="s">
        <v>0</v>
      </c>
      <c r="D169" s="67">
        <v>270</v>
      </c>
      <c r="E169" s="67">
        <v>5.38</v>
      </c>
      <c r="F169" s="67" t="s">
        <v>387</v>
      </c>
      <c r="G169" s="81">
        <v>2.444</v>
      </c>
      <c r="H169" s="79" t="s">
        <v>62</v>
      </c>
      <c r="I169" s="75">
        <v>510000</v>
      </c>
      <c r="J169" s="71" t="s">
        <v>56</v>
      </c>
      <c r="K169" s="14"/>
      <c r="L169" s="10"/>
    </row>
    <row r="170" spans="2:68" s="3" customFormat="1" ht="19.5" customHeight="1" x14ac:dyDescent="0.3">
      <c r="B170" s="26" t="s">
        <v>9</v>
      </c>
      <c r="C170" s="27" t="s">
        <v>0</v>
      </c>
      <c r="D170" s="27">
        <v>280</v>
      </c>
      <c r="E170" s="27"/>
      <c r="F170" s="27" t="s">
        <v>50</v>
      </c>
      <c r="G170" s="30">
        <v>0.52800000000000002</v>
      </c>
      <c r="H170" s="32" t="s">
        <v>62</v>
      </c>
      <c r="I170" s="75">
        <v>510000</v>
      </c>
      <c r="J170" s="29" t="s">
        <v>56</v>
      </c>
      <c r="K170" s="14"/>
      <c r="L170" s="10"/>
    </row>
    <row r="171" spans="2:68" s="3" customFormat="1" ht="19.5" customHeight="1" x14ac:dyDescent="0.3">
      <c r="B171" s="26" t="s">
        <v>9</v>
      </c>
      <c r="C171" s="27" t="s">
        <v>0</v>
      </c>
      <c r="D171" s="27">
        <v>320</v>
      </c>
      <c r="E171" s="27"/>
      <c r="F171" s="27" t="s">
        <v>180</v>
      </c>
      <c r="G171" s="30">
        <v>2.0990000000000002</v>
      </c>
      <c r="H171" s="32" t="s">
        <v>62</v>
      </c>
      <c r="I171" s="75">
        <v>510000</v>
      </c>
      <c r="J171" s="29" t="s">
        <v>56</v>
      </c>
      <c r="K171" s="14"/>
      <c r="L171" s="10"/>
    </row>
    <row r="172" spans="2:68" s="3" customFormat="1" ht="19.5" customHeight="1" x14ac:dyDescent="0.3">
      <c r="B172" s="26" t="s">
        <v>9</v>
      </c>
      <c r="C172" s="27" t="s">
        <v>35</v>
      </c>
      <c r="D172" s="27">
        <v>80</v>
      </c>
      <c r="E172" s="27"/>
      <c r="F172" s="27"/>
      <c r="G172" s="30">
        <v>0.33800000000000002</v>
      </c>
      <c r="H172" s="31" t="s">
        <v>34</v>
      </c>
      <c r="I172" s="39">
        <v>190000</v>
      </c>
      <c r="J172" s="29" t="s">
        <v>56</v>
      </c>
      <c r="K172" s="14"/>
      <c r="L172" s="10"/>
    </row>
    <row r="173" spans="2:68" s="3" customFormat="1" ht="19.5" customHeight="1" x14ac:dyDescent="0.3">
      <c r="B173" s="26" t="s">
        <v>9</v>
      </c>
      <c r="C173" s="27" t="s">
        <v>5</v>
      </c>
      <c r="D173" s="27">
        <v>20</v>
      </c>
      <c r="E173" s="27"/>
      <c r="F173" s="27" t="s">
        <v>87</v>
      </c>
      <c r="G173" s="30">
        <v>0.13700000000000001</v>
      </c>
      <c r="H173" s="31"/>
      <c r="I173" s="38">
        <v>130000</v>
      </c>
      <c r="J173" s="29" t="s">
        <v>56</v>
      </c>
      <c r="K173" s="14"/>
      <c r="L173" s="10"/>
    </row>
    <row r="174" spans="2:68" s="3" customFormat="1" ht="19.5" customHeight="1" x14ac:dyDescent="0.3">
      <c r="B174" s="26" t="s">
        <v>9</v>
      </c>
      <c r="C174" s="27" t="s">
        <v>157</v>
      </c>
      <c r="D174" s="27">
        <v>8</v>
      </c>
      <c r="E174" s="27"/>
      <c r="F174" s="27" t="s">
        <v>159</v>
      </c>
      <c r="G174" s="30">
        <v>0.1</v>
      </c>
      <c r="H174" s="31" t="s">
        <v>34</v>
      </c>
      <c r="I174" s="38">
        <v>140000</v>
      </c>
      <c r="J174" s="29" t="s">
        <v>56</v>
      </c>
      <c r="K174" s="14"/>
      <c r="L174" s="10"/>
    </row>
    <row r="175" spans="2:68" s="3" customFormat="1" ht="19.5" customHeight="1" x14ac:dyDescent="0.3">
      <c r="B175" s="26" t="s">
        <v>9</v>
      </c>
      <c r="C175" s="27" t="s">
        <v>157</v>
      </c>
      <c r="D175" s="27">
        <v>120</v>
      </c>
      <c r="E175" s="27"/>
      <c r="F175" s="27" t="s">
        <v>158</v>
      </c>
      <c r="G175" s="30">
        <v>0.66</v>
      </c>
      <c r="H175" s="31" t="s">
        <v>34</v>
      </c>
      <c r="I175" s="38">
        <v>140000</v>
      </c>
      <c r="J175" s="29" t="s">
        <v>56</v>
      </c>
      <c r="K175" s="14"/>
      <c r="L175" s="10"/>
    </row>
    <row r="176" spans="2:68" s="3" customFormat="1" ht="19.5" customHeight="1" x14ac:dyDescent="0.3">
      <c r="B176" s="66" t="s">
        <v>11</v>
      </c>
      <c r="C176" s="67" t="s">
        <v>265</v>
      </c>
      <c r="D176" s="67">
        <v>100</v>
      </c>
      <c r="E176" s="67"/>
      <c r="F176" s="67" t="s">
        <v>287</v>
      </c>
      <c r="G176" s="81">
        <v>17.481999999999999</v>
      </c>
      <c r="H176" s="79" t="s">
        <v>62</v>
      </c>
      <c r="I176" s="70">
        <v>750000</v>
      </c>
      <c r="J176" s="71" t="s">
        <v>56</v>
      </c>
      <c r="K176" s="14"/>
      <c r="L176" s="10"/>
    </row>
    <row r="177" spans="2:21" s="3" customFormat="1" ht="19.5" customHeight="1" x14ac:dyDescent="0.3">
      <c r="B177" s="66" t="s">
        <v>9</v>
      </c>
      <c r="C177" s="67" t="s">
        <v>265</v>
      </c>
      <c r="D177" s="67">
        <v>10</v>
      </c>
      <c r="E177" s="67"/>
      <c r="F177" s="67" t="s">
        <v>340</v>
      </c>
      <c r="G177" s="81">
        <v>4.7E-2</v>
      </c>
      <c r="H177" s="79"/>
      <c r="I177" s="70">
        <v>1350000</v>
      </c>
      <c r="J177" s="71" t="s">
        <v>56</v>
      </c>
      <c r="K177" s="14"/>
      <c r="L177" s="10"/>
    </row>
    <row r="178" spans="2:21" s="3" customFormat="1" ht="19.5" customHeight="1" x14ac:dyDescent="0.3">
      <c r="B178" s="66" t="s">
        <v>9</v>
      </c>
      <c r="C178" s="67" t="s">
        <v>265</v>
      </c>
      <c r="D178" s="67">
        <v>18</v>
      </c>
      <c r="E178" s="67"/>
      <c r="F178" s="67" t="s">
        <v>340</v>
      </c>
      <c r="G178" s="81">
        <v>5.8000000000000003E-2</v>
      </c>
      <c r="H178" s="79"/>
      <c r="I178" s="70">
        <v>1350000</v>
      </c>
      <c r="J178" s="71" t="s">
        <v>56</v>
      </c>
      <c r="K178" s="14"/>
      <c r="L178" s="10"/>
    </row>
    <row r="179" spans="2:21" s="3" customFormat="1" ht="19.5" customHeight="1" x14ac:dyDescent="0.3">
      <c r="B179" s="66" t="s">
        <v>9</v>
      </c>
      <c r="C179" s="67" t="s">
        <v>265</v>
      </c>
      <c r="D179" s="67">
        <v>20</v>
      </c>
      <c r="E179" s="67"/>
      <c r="F179" s="67" t="s">
        <v>340</v>
      </c>
      <c r="G179" s="81">
        <v>3.7999999999999999E-2</v>
      </c>
      <c r="H179" s="79"/>
      <c r="I179" s="70">
        <v>1300000</v>
      </c>
      <c r="J179" s="71" t="s">
        <v>56</v>
      </c>
      <c r="K179" s="14"/>
      <c r="L179" s="10"/>
    </row>
    <row r="180" spans="2:21" s="3" customFormat="1" ht="19.5" customHeight="1" x14ac:dyDescent="0.3">
      <c r="B180" s="66" t="s">
        <v>9</v>
      </c>
      <c r="C180" s="67" t="s">
        <v>265</v>
      </c>
      <c r="D180" s="67">
        <v>25</v>
      </c>
      <c r="E180" s="67"/>
      <c r="F180" s="67" t="s">
        <v>340</v>
      </c>
      <c r="G180" s="81">
        <v>5.6000000000000001E-2</v>
      </c>
      <c r="H180" s="79"/>
      <c r="I180" s="70">
        <v>1350000</v>
      </c>
      <c r="J180" s="71" t="s">
        <v>56</v>
      </c>
      <c r="K180" s="14"/>
      <c r="L180" s="10"/>
    </row>
    <row r="181" spans="2:21" s="3" customFormat="1" ht="19.5" customHeight="1" x14ac:dyDescent="0.3">
      <c r="B181" s="66" t="s">
        <v>9</v>
      </c>
      <c r="C181" s="67" t="s">
        <v>265</v>
      </c>
      <c r="D181" s="67">
        <v>40</v>
      </c>
      <c r="E181" s="67"/>
      <c r="F181" s="89" t="s">
        <v>276</v>
      </c>
      <c r="G181" s="81">
        <v>3.3159999999999998</v>
      </c>
      <c r="H181" s="79" t="s">
        <v>58</v>
      </c>
      <c r="I181" s="70">
        <v>1350000</v>
      </c>
      <c r="J181" s="71" t="s">
        <v>56</v>
      </c>
      <c r="K181" s="14"/>
      <c r="L181" s="10"/>
    </row>
    <row r="182" spans="2:21" s="3" customFormat="1" ht="19.5" customHeight="1" x14ac:dyDescent="0.3">
      <c r="B182" s="66" t="s">
        <v>9</v>
      </c>
      <c r="C182" s="67" t="s">
        <v>265</v>
      </c>
      <c r="D182" s="67">
        <v>42</v>
      </c>
      <c r="E182" s="67"/>
      <c r="F182" s="89" t="s">
        <v>276</v>
      </c>
      <c r="G182" s="81">
        <v>2.8279999999999998</v>
      </c>
      <c r="H182" s="79" t="s">
        <v>58</v>
      </c>
      <c r="I182" s="70">
        <v>1350000</v>
      </c>
      <c r="J182" s="71" t="s">
        <v>56</v>
      </c>
      <c r="K182" s="14"/>
      <c r="L182" s="10"/>
    </row>
    <row r="183" spans="2:21" s="3" customFormat="1" ht="19.5" customHeight="1" x14ac:dyDescent="0.3">
      <c r="B183" s="66" t="s">
        <v>9</v>
      </c>
      <c r="C183" s="67" t="s">
        <v>265</v>
      </c>
      <c r="D183" s="67">
        <v>45</v>
      </c>
      <c r="E183" s="67"/>
      <c r="F183" s="89" t="s">
        <v>276</v>
      </c>
      <c r="G183" s="81">
        <v>2.9740000000000002</v>
      </c>
      <c r="H183" s="79" t="s">
        <v>58</v>
      </c>
      <c r="I183" s="70">
        <v>1350000</v>
      </c>
      <c r="J183" s="71" t="s">
        <v>56</v>
      </c>
      <c r="K183" s="14"/>
      <c r="L183" s="10"/>
    </row>
    <row r="184" spans="2:21" s="3" customFormat="1" ht="19.5" customHeight="1" x14ac:dyDescent="0.3">
      <c r="B184" s="66" t="s">
        <v>9</v>
      </c>
      <c r="C184" s="67" t="s">
        <v>265</v>
      </c>
      <c r="D184" s="67">
        <v>48</v>
      </c>
      <c r="E184" s="67"/>
      <c r="F184" s="89" t="s">
        <v>276</v>
      </c>
      <c r="G184" s="81">
        <v>2.9460000000000002</v>
      </c>
      <c r="H184" s="79" t="s">
        <v>58</v>
      </c>
      <c r="I184" s="70">
        <v>1300000</v>
      </c>
      <c r="J184" s="71" t="s">
        <v>56</v>
      </c>
      <c r="K184" s="14"/>
      <c r="L184" s="10"/>
    </row>
    <row r="185" spans="2:21" s="3" customFormat="1" ht="19.5" customHeight="1" x14ac:dyDescent="0.3">
      <c r="B185" s="66" t="s">
        <v>9</v>
      </c>
      <c r="C185" s="67" t="s">
        <v>265</v>
      </c>
      <c r="D185" s="67">
        <v>50</v>
      </c>
      <c r="E185" s="67"/>
      <c r="F185" s="89" t="s">
        <v>276</v>
      </c>
      <c r="G185" s="81">
        <v>2.93</v>
      </c>
      <c r="H185" s="79" t="s">
        <v>58</v>
      </c>
      <c r="I185" s="70">
        <v>1300000</v>
      </c>
      <c r="J185" s="71" t="s">
        <v>56</v>
      </c>
      <c r="K185" s="14"/>
      <c r="L185" s="10"/>
    </row>
    <row r="186" spans="2:21" s="3" customFormat="1" ht="19.5" customHeight="1" x14ac:dyDescent="0.3">
      <c r="B186" s="66" t="s">
        <v>9</v>
      </c>
      <c r="C186" s="67" t="s">
        <v>265</v>
      </c>
      <c r="D186" s="67">
        <v>52</v>
      </c>
      <c r="E186" s="67"/>
      <c r="F186" s="89" t="s">
        <v>276</v>
      </c>
      <c r="G186" s="81">
        <v>3.3620000000000001</v>
      </c>
      <c r="H186" s="79" t="s">
        <v>58</v>
      </c>
      <c r="I186" s="70">
        <v>1300000</v>
      </c>
      <c r="J186" s="71" t="s">
        <v>56</v>
      </c>
      <c r="K186" s="14"/>
      <c r="L186" s="10"/>
    </row>
    <row r="187" spans="2:21" s="3" customFormat="1" ht="19.5" customHeight="1" x14ac:dyDescent="0.3">
      <c r="B187" s="66" t="s">
        <v>9</v>
      </c>
      <c r="C187" s="67" t="s">
        <v>265</v>
      </c>
      <c r="D187" s="67">
        <v>56</v>
      </c>
      <c r="E187" s="67"/>
      <c r="F187" s="89" t="s">
        <v>276</v>
      </c>
      <c r="G187" s="81">
        <v>2.9460000000000002</v>
      </c>
      <c r="H187" s="79" t="s">
        <v>58</v>
      </c>
      <c r="I187" s="70">
        <v>1300000</v>
      </c>
      <c r="J187" s="71" t="s">
        <v>56</v>
      </c>
      <c r="K187" s="14"/>
      <c r="L187" s="10"/>
    </row>
    <row r="188" spans="2:21" s="78" customFormat="1" ht="19.5" customHeight="1" x14ac:dyDescent="0.3">
      <c r="B188" s="66" t="s">
        <v>9</v>
      </c>
      <c r="C188" s="67" t="s">
        <v>265</v>
      </c>
      <c r="D188" s="67">
        <v>60</v>
      </c>
      <c r="E188" s="67"/>
      <c r="F188" s="89" t="s">
        <v>276</v>
      </c>
      <c r="G188" s="81">
        <v>2.5110000000000001</v>
      </c>
      <c r="H188" s="79" t="s">
        <v>62</v>
      </c>
      <c r="I188" s="70">
        <v>925000</v>
      </c>
      <c r="J188" s="71" t="s">
        <v>56</v>
      </c>
      <c r="K188" s="14"/>
      <c r="L188" s="115"/>
      <c r="M188" s="3"/>
      <c r="N188" s="3"/>
      <c r="O188" s="3"/>
      <c r="P188" s="3"/>
      <c r="Q188" s="3"/>
      <c r="R188" s="3"/>
      <c r="S188" s="3"/>
      <c r="T188" s="3"/>
      <c r="U188" s="3"/>
    </row>
    <row r="189" spans="2:21" s="78" customFormat="1" ht="19.5" customHeight="1" x14ac:dyDescent="0.3">
      <c r="B189" s="66" t="s">
        <v>9</v>
      </c>
      <c r="C189" s="67" t="s">
        <v>265</v>
      </c>
      <c r="D189" s="67">
        <v>80</v>
      </c>
      <c r="E189" s="67"/>
      <c r="F189" s="89" t="s">
        <v>276</v>
      </c>
      <c r="G189" s="81">
        <v>3.79</v>
      </c>
      <c r="H189" s="79" t="s">
        <v>62</v>
      </c>
      <c r="I189" s="70">
        <v>1100000</v>
      </c>
      <c r="J189" s="71" t="s">
        <v>56</v>
      </c>
      <c r="K189" s="14"/>
      <c r="L189" s="115"/>
      <c r="M189" s="3"/>
      <c r="N189" s="3"/>
      <c r="O189" s="3"/>
      <c r="P189" s="3"/>
      <c r="Q189" s="3"/>
      <c r="R189" s="3"/>
      <c r="S189" s="3"/>
      <c r="T189" s="3"/>
      <c r="U189" s="3"/>
    </row>
    <row r="190" spans="2:21" s="78" customFormat="1" ht="19.5" customHeight="1" x14ac:dyDescent="0.3">
      <c r="B190" s="66" t="s">
        <v>9</v>
      </c>
      <c r="C190" s="67" t="s">
        <v>265</v>
      </c>
      <c r="D190" s="67">
        <v>100</v>
      </c>
      <c r="E190" s="67"/>
      <c r="F190" s="89" t="s">
        <v>276</v>
      </c>
      <c r="G190" s="81">
        <v>4.3689999999999998</v>
      </c>
      <c r="H190" s="79" t="s">
        <v>62</v>
      </c>
      <c r="I190" s="70">
        <v>925000</v>
      </c>
      <c r="J190" s="71" t="s">
        <v>56</v>
      </c>
      <c r="K190" s="14"/>
      <c r="L190" s="115"/>
      <c r="M190" s="3"/>
      <c r="N190" s="3"/>
      <c r="O190" s="3"/>
      <c r="P190" s="3"/>
      <c r="Q190" s="3"/>
      <c r="R190" s="3"/>
      <c r="S190" s="3"/>
      <c r="T190" s="3"/>
      <c r="U190" s="3"/>
    </row>
    <row r="191" spans="2:21" s="78" customFormat="1" ht="19.5" customHeight="1" x14ac:dyDescent="0.3">
      <c r="B191" s="66" t="s">
        <v>9</v>
      </c>
      <c r="C191" s="67" t="s">
        <v>265</v>
      </c>
      <c r="D191" s="67">
        <v>110</v>
      </c>
      <c r="E191" s="67"/>
      <c r="F191" s="89" t="s">
        <v>276</v>
      </c>
      <c r="G191" s="81">
        <v>3.8130000000000002</v>
      </c>
      <c r="H191" s="79" t="s">
        <v>62</v>
      </c>
      <c r="I191" s="70">
        <v>925000</v>
      </c>
      <c r="J191" s="71" t="s">
        <v>56</v>
      </c>
      <c r="K191" s="14"/>
      <c r="L191" s="115"/>
      <c r="M191" s="3"/>
      <c r="N191" s="3"/>
      <c r="O191" s="3"/>
      <c r="P191" s="3"/>
      <c r="Q191" s="3"/>
      <c r="R191" s="3"/>
      <c r="S191" s="3"/>
      <c r="T191" s="3"/>
      <c r="U191" s="3"/>
    </row>
    <row r="192" spans="2:21" s="78" customFormat="1" ht="19.5" customHeight="1" x14ac:dyDescent="0.3">
      <c r="B192" s="66" t="s">
        <v>9</v>
      </c>
      <c r="C192" s="67" t="s">
        <v>265</v>
      </c>
      <c r="D192" s="67">
        <v>120</v>
      </c>
      <c r="E192" s="67"/>
      <c r="F192" s="89" t="s">
        <v>276</v>
      </c>
      <c r="G192" s="81">
        <v>4.1210000000000004</v>
      </c>
      <c r="H192" s="79" t="s">
        <v>62</v>
      </c>
      <c r="I192" s="70">
        <v>925000</v>
      </c>
      <c r="J192" s="71" t="s">
        <v>56</v>
      </c>
      <c r="K192" s="14"/>
      <c r="L192" s="115"/>
      <c r="M192" s="3"/>
      <c r="N192" s="3"/>
      <c r="O192" s="3"/>
      <c r="P192" s="3"/>
      <c r="Q192" s="3"/>
      <c r="R192" s="3"/>
      <c r="S192" s="3"/>
      <c r="T192" s="3"/>
      <c r="U192" s="3"/>
    </row>
    <row r="193" spans="2:68" s="78" customFormat="1" ht="19.5" customHeight="1" x14ac:dyDescent="0.3">
      <c r="B193" s="66" t="s">
        <v>9</v>
      </c>
      <c r="C193" s="67" t="s">
        <v>265</v>
      </c>
      <c r="D193" s="67">
        <v>130</v>
      </c>
      <c r="E193" s="67"/>
      <c r="F193" s="89" t="s">
        <v>276</v>
      </c>
      <c r="G193" s="81">
        <v>4.282</v>
      </c>
      <c r="H193" s="79" t="s">
        <v>62</v>
      </c>
      <c r="I193" s="70">
        <v>925000</v>
      </c>
      <c r="J193" s="71" t="s">
        <v>56</v>
      </c>
      <c r="K193" s="14"/>
      <c r="L193" s="115"/>
      <c r="M193" s="3"/>
      <c r="N193" s="3"/>
      <c r="O193" s="3"/>
      <c r="P193" s="3"/>
      <c r="Q193" s="3"/>
      <c r="R193" s="3"/>
      <c r="S193" s="3"/>
      <c r="T193" s="3"/>
      <c r="U193" s="3"/>
    </row>
    <row r="194" spans="2:68" s="78" customFormat="1" ht="19.5" customHeight="1" x14ac:dyDescent="0.3">
      <c r="B194" s="66" t="s">
        <v>9</v>
      </c>
      <c r="C194" s="67" t="s">
        <v>265</v>
      </c>
      <c r="D194" s="67">
        <v>150</v>
      </c>
      <c r="E194" s="67"/>
      <c r="F194" s="89" t="s">
        <v>276</v>
      </c>
      <c r="G194" s="81">
        <v>3.6440000000000001</v>
      </c>
      <c r="H194" s="79" t="s">
        <v>62</v>
      </c>
      <c r="I194" s="70">
        <v>1100000</v>
      </c>
      <c r="J194" s="71" t="s">
        <v>56</v>
      </c>
      <c r="K194" s="14"/>
      <c r="L194" s="115"/>
      <c r="M194" s="3"/>
      <c r="N194" s="3"/>
      <c r="O194" s="3"/>
      <c r="P194" s="3"/>
      <c r="Q194" s="3"/>
      <c r="R194" s="3"/>
      <c r="S194" s="3"/>
      <c r="T194" s="3"/>
      <c r="U194" s="3"/>
    </row>
    <row r="195" spans="2:68" s="78" customFormat="1" ht="19.5" customHeight="1" x14ac:dyDescent="0.3">
      <c r="B195" s="66" t="s">
        <v>9</v>
      </c>
      <c r="C195" s="67" t="s">
        <v>265</v>
      </c>
      <c r="D195" s="67">
        <v>160</v>
      </c>
      <c r="E195" s="67"/>
      <c r="F195" s="89" t="s">
        <v>276</v>
      </c>
      <c r="G195" s="81">
        <v>3.222</v>
      </c>
      <c r="H195" s="79" t="s">
        <v>62</v>
      </c>
      <c r="I195" s="70">
        <v>1100000</v>
      </c>
      <c r="J195" s="71" t="s">
        <v>56</v>
      </c>
      <c r="K195" s="14"/>
      <c r="L195" s="115"/>
      <c r="M195" s="3"/>
      <c r="N195" s="3"/>
      <c r="O195" s="3"/>
      <c r="P195" s="3"/>
      <c r="Q195" s="3"/>
      <c r="R195" s="3"/>
      <c r="S195" s="3"/>
      <c r="T195" s="3"/>
      <c r="U195" s="3"/>
    </row>
    <row r="196" spans="2:68" s="78" customFormat="1" ht="19.5" customHeight="1" x14ac:dyDescent="0.3">
      <c r="B196" s="66" t="s">
        <v>9</v>
      </c>
      <c r="C196" s="67" t="s">
        <v>265</v>
      </c>
      <c r="D196" s="67">
        <v>180</v>
      </c>
      <c r="E196" s="67"/>
      <c r="F196" s="89" t="s">
        <v>276</v>
      </c>
      <c r="G196" s="81">
        <v>3.89</v>
      </c>
      <c r="H196" s="79" t="s">
        <v>62</v>
      </c>
      <c r="I196" s="70">
        <v>925000</v>
      </c>
      <c r="J196" s="71" t="s">
        <v>56</v>
      </c>
      <c r="K196" s="14"/>
      <c r="L196" s="115"/>
      <c r="M196" s="3"/>
      <c r="N196" s="3"/>
      <c r="O196" s="3"/>
      <c r="P196" s="3"/>
      <c r="Q196" s="3"/>
      <c r="R196" s="3"/>
      <c r="S196" s="3"/>
      <c r="T196" s="3"/>
      <c r="U196" s="3"/>
    </row>
    <row r="197" spans="2:68" s="78" customFormat="1" ht="19.5" customHeight="1" x14ac:dyDescent="0.3">
      <c r="B197" s="66" t="s">
        <v>9</v>
      </c>
      <c r="C197" s="67" t="s">
        <v>265</v>
      </c>
      <c r="D197" s="67">
        <v>200</v>
      </c>
      <c r="E197" s="67"/>
      <c r="F197" s="89" t="s">
        <v>276</v>
      </c>
      <c r="G197" s="81">
        <v>2.5619999999999998</v>
      </c>
      <c r="H197" s="79" t="s">
        <v>62</v>
      </c>
      <c r="I197" s="70">
        <v>1100000</v>
      </c>
      <c r="J197" s="71" t="s">
        <v>56</v>
      </c>
      <c r="K197" s="14"/>
      <c r="L197" s="115"/>
      <c r="M197" s="3"/>
      <c r="N197" s="3"/>
      <c r="O197" s="3"/>
      <c r="P197" s="3"/>
      <c r="Q197" s="3"/>
      <c r="R197" s="3"/>
      <c r="S197" s="3"/>
      <c r="T197" s="3"/>
      <c r="U197" s="3"/>
    </row>
    <row r="198" spans="2:68" s="3" customFormat="1" ht="19.5" customHeight="1" x14ac:dyDescent="0.3">
      <c r="B198" s="26" t="s">
        <v>9</v>
      </c>
      <c r="C198" s="27" t="s">
        <v>70</v>
      </c>
      <c r="D198" s="27">
        <v>50</v>
      </c>
      <c r="E198" s="27"/>
      <c r="F198" s="27" t="s">
        <v>160</v>
      </c>
      <c r="G198" s="30">
        <v>7.5999999999999998E-2</v>
      </c>
      <c r="H198" s="31" t="s">
        <v>34</v>
      </c>
      <c r="I198" s="38">
        <v>200000</v>
      </c>
      <c r="J198" s="29" t="s">
        <v>56</v>
      </c>
      <c r="K198" s="14"/>
      <c r="L198" s="10"/>
    </row>
    <row r="199" spans="2:68" s="3" customFormat="1" ht="19.5" customHeight="1" x14ac:dyDescent="0.3">
      <c r="B199" s="26" t="s">
        <v>9</v>
      </c>
      <c r="C199" s="27" t="s">
        <v>48</v>
      </c>
      <c r="D199" s="27">
        <v>26</v>
      </c>
      <c r="E199" s="27"/>
      <c r="F199" s="27"/>
      <c r="G199" s="30">
        <v>0.48</v>
      </c>
      <c r="H199" s="31" t="s">
        <v>34</v>
      </c>
      <c r="I199" s="38">
        <v>76000</v>
      </c>
      <c r="J199" s="29" t="s">
        <v>56</v>
      </c>
      <c r="K199" s="12"/>
      <c r="L199" s="10"/>
    </row>
    <row r="200" spans="2:68" s="3" customFormat="1" ht="19.5" customHeight="1" x14ac:dyDescent="0.3">
      <c r="B200" s="26" t="s">
        <v>9</v>
      </c>
      <c r="C200" s="27" t="s">
        <v>90</v>
      </c>
      <c r="D200" s="27">
        <v>40</v>
      </c>
      <c r="E200" s="27"/>
      <c r="F200" s="27"/>
      <c r="G200" s="30">
        <v>0.59099999999999997</v>
      </c>
      <c r="H200" s="31"/>
      <c r="I200" s="38">
        <v>80000</v>
      </c>
      <c r="J200" s="29" t="s">
        <v>56</v>
      </c>
      <c r="K200" s="12"/>
      <c r="L200" s="10"/>
    </row>
    <row r="201" spans="2:68" s="3" customFormat="1" ht="19.5" customHeight="1" x14ac:dyDescent="0.3">
      <c r="B201" s="26" t="s">
        <v>9</v>
      </c>
      <c r="C201" s="27" t="s">
        <v>3</v>
      </c>
      <c r="D201" s="27">
        <v>120</v>
      </c>
      <c r="E201" s="27" t="s">
        <v>375</v>
      </c>
      <c r="F201" s="27" t="s">
        <v>40</v>
      </c>
      <c r="G201" s="30">
        <v>0.61599999999999999</v>
      </c>
      <c r="H201" s="28" t="s">
        <v>60</v>
      </c>
      <c r="I201" s="38">
        <v>110000</v>
      </c>
      <c r="J201" s="29" t="s">
        <v>56</v>
      </c>
      <c r="K201" s="54"/>
      <c r="L201" s="10"/>
    </row>
    <row r="202" spans="2:68" s="46" customFormat="1" ht="19.5" customHeight="1" x14ac:dyDescent="0.3">
      <c r="B202" s="26" t="s">
        <v>9</v>
      </c>
      <c r="C202" s="27" t="s">
        <v>68</v>
      </c>
      <c r="D202" s="27">
        <v>180</v>
      </c>
      <c r="E202" s="27"/>
      <c r="F202" s="27" t="s">
        <v>166</v>
      </c>
      <c r="G202" s="30">
        <v>0.74</v>
      </c>
      <c r="H202" s="31" t="s">
        <v>61</v>
      </c>
      <c r="I202" s="38">
        <v>165000</v>
      </c>
      <c r="J202" s="29" t="s">
        <v>56</v>
      </c>
      <c r="K202" s="12"/>
      <c r="L202" s="10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</row>
    <row r="203" spans="2:68" s="2" customFormat="1" ht="19.5" customHeight="1" x14ac:dyDescent="0.3">
      <c r="B203" s="26" t="s">
        <v>9</v>
      </c>
      <c r="C203" s="27" t="s">
        <v>29</v>
      </c>
      <c r="D203" s="27">
        <v>20</v>
      </c>
      <c r="E203" s="27"/>
      <c r="F203" s="27"/>
      <c r="G203" s="30">
        <v>0.104</v>
      </c>
      <c r="H203" s="31" t="s">
        <v>34</v>
      </c>
      <c r="I203" s="38">
        <v>165000</v>
      </c>
      <c r="J203" s="29" t="s">
        <v>56</v>
      </c>
      <c r="K203" s="12"/>
      <c r="L203" s="10"/>
    </row>
    <row r="204" spans="2:68" s="2" customFormat="1" ht="19.5" customHeight="1" x14ac:dyDescent="0.3">
      <c r="B204" s="26" t="s">
        <v>9</v>
      </c>
      <c r="C204" s="27" t="s">
        <v>279</v>
      </c>
      <c r="D204" s="27">
        <v>60</v>
      </c>
      <c r="E204" s="27"/>
      <c r="F204" s="27" t="s">
        <v>280</v>
      </c>
      <c r="G204" s="30">
        <v>9.3610000000000007</v>
      </c>
      <c r="H204" s="31" t="s">
        <v>63</v>
      </c>
      <c r="I204" s="38">
        <v>240000</v>
      </c>
      <c r="J204" s="29" t="s">
        <v>56</v>
      </c>
      <c r="K204" s="14"/>
      <c r="L204" s="10"/>
    </row>
    <row r="205" spans="2:68" s="3" customFormat="1" ht="19.5" customHeight="1" x14ac:dyDescent="0.3">
      <c r="B205" s="26" t="s">
        <v>9</v>
      </c>
      <c r="C205" s="27" t="s">
        <v>46</v>
      </c>
      <c r="D205" s="27">
        <v>18</v>
      </c>
      <c r="E205" s="27"/>
      <c r="F205" s="27" t="s">
        <v>125</v>
      </c>
      <c r="G205" s="30">
        <v>0.79800000000000004</v>
      </c>
      <c r="H205" s="31" t="s">
        <v>60</v>
      </c>
      <c r="I205" s="38">
        <v>140000</v>
      </c>
      <c r="J205" s="29" t="s">
        <v>56</v>
      </c>
      <c r="K205" s="14"/>
      <c r="L205" s="8"/>
    </row>
    <row r="206" spans="2:68" s="3" customFormat="1" ht="19.5" customHeight="1" x14ac:dyDescent="0.3">
      <c r="B206" s="26" t="s">
        <v>9</v>
      </c>
      <c r="C206" s="27" t="s">
        <v>46</v>
      </c>
      <c r="D206" s="27">
        <v>56</v>
      </c>
      <c r="E206" s="27"/>
      <c r="F206" s="27" t="s">
        <v>51</v>
      </c>
      <c r="G206" s="30">
        <v>0.27600000000000002</v>
      </c>
      <c r="H206" s="31" t="s">
        <v>34</v>
      </c>
      <c r="I206" s="38">
        <v>70000</v>
      </c>
      <c r="J206" s="29" t="s">
        <v>56</v>
      </c>
      <c r="K206" s="14"/>
      <c r="L206" s="8"/>
    </row>
    <row r="207" spans="2:68" s="3" customFormat="1" ht="19.5" customHeight="1" x14ac:dyDescent="0.3">
      <c r="B207" s="26" t="s">
        <v>9</v>
      </c>
      <c r="C207" s="27" t="s">
        <v>46</v>
      </c>
      <c r="D207" s="27">
        <v>80</v>
      </c>
      <c r="E207" s="27"/>
      <c r="F207" s="27" t="s">
        <v>126</v>
      </c>
      <c r="G207" s="30">
        <v>2.3540000000000001</v>
      </c>
      <c r="H207" s="31" t="s">
        <v>60</v>
      </c>
      <c r="I207" s="38">
        <v>140000</v>
      </c>
      <c r="J207" s="29" t="s">
        <v>56</v>
      </c>
      <c r="K207" s="14"/>
      <c r="L207" s="8"/>
    </row>
    <row r="208" spans="2:68" s="3" customFormat="1" ht="19.5" customHeight="1" x14ac:dyDescent="0.3">
      <c r="B208" s="26" t="s">
        <v>9</v>
      </c>
      <c r="C208" s="27" t="s">
        <v>46</v>
      </c>
      <c r="D208" s="27">
        <v>100</v>
      </c>
      <c r="E208" s="27"/>
      <c r="F208" s="27" t="s">
        <v>126</v>
      </c>
      <c r="G208" s="30">
        <v>0.39500000000000002</v>
      </c>
      <c r="H208" s="31" t="s">
        <v>60</v>
      </c>
      <c r="I208" s="38">
        <v>140000</v>
      </c>
      <c r="J208" s="29" t="s">
        <v>56</v>
      </c>
      <c r="K208" s="14"/>
      <c r="L208" s="8"/>
    </row>
    <row r="209" spans="2:21" s="3" customFormat="1" ht="19.5" customHeight="1" x14ac:dyDescent="0.3">
      <c r="B209" s="26" t="s">
        <v>9</v>
      </c>
      <c r="C209" s="27" t="s">
        <v>46</v>
      </c>
      <c r="D209" s="27">
        <v>8</v>
      </c>
      <c r="E209" s="26" t="s">
        <v>374</v>
      </c>
      <c r="F209" s="27" t="s">
        <v>168</v>
      </c>
      <c r="G209" s="30">
        <v>0.98</v>
      </c>
      <c r="H209" s="31" t="s">
        <v>61</v>
      </c>
      <c r="I209" s="38">
        <v>190000</v>
      </c>
      <c r="J209" s="29" t="s">
        <v>56</v>
      </c>
      <c r="K209" s="14"/>
      <c r="L209" s="8"/>
    </row>
    <row r="210" spans="2:21" s="3" customFormat="1" ht="19.5" customHeight="1" x14ac:dyDescent="0.3">
      <c r="B210" s="66" t="s">
        <v>9</v>
      </c>
      <c r="C210" s="67" t="s">
        <v>46</v>
      </c>
      <c r="D210" s="67">
        <v>10</v>
      </c>
      <c r="E210" s="66"/>
      <c r="F210" s="67" t="s">
        <v>380</v>
      </c>
      <c r="G210" s="81">
        <v>2.13</v>
      </c>
      <c r="H210" s="80" t="s">
        <v>60</v>
      </c>
      <c r="I210" s="70">
        <v>300000</v>
      </c>
      <c r="J210" s="71" t="s">
        <v>391</v>
      </c>
      <c r="K210" s="14"/>
      <c r="L210" s="8"/>
    </row>
    <row r="211" spans="2:21" s="3" customFormat="1" ht="19.5" customHeight="1" x14ac:dyDescent="0.3">
      <c r="B211" s="66" t="s">
        <v>9</v>
      </c>
      <c r="C211" s="67" t="s">
        <v>46</v>
      </c>
      <c r="D211" s="67">
        <v>12</v>
      </c>
      <c r="E211" s="66"/>
      <c r="F211" s="67" t="s">
        <v>380</v>
      </c>
      <c r="G211" s="81">
        <v>2.5499999999999998</v>
      </c>
      <c r="H211" s="80" t="s">
        <v>60</v>
      </c>
      <c r="I211" s="70">
        <v>300000</v>
      </c>
      <c r="J211" s="71" t="s">
        <v>391</v>
      </c>
      <c r="K211" s="14"/>
      <c r="L211" s="8"/>
    </row>
    <row r="212" spans="2:21" s="3" customFormat="1" ht="19.5" customHeight="1" x14ac:dyDescent="0.3">
      <c r="B212" s="66" t="s">
        <v>9</v>
      </c>
      <c r="C212" s="67" t="s">
        <v>46</v>
      </c>
      <c r="D212" s="67">
        <v>14</v>
      </c>
      <c r="E212" s="66"/>
      <c r="F212" s="67" t="s">
        <v>380</v>
      </c>
      <c r="G212" s="81">
        <v>2.39</v>
      </c>
      <c r="H212" s="80" t="s">
        <v>60</v>
      </c>
      <c r="I212" s="70">
        <v>300000</v>
      </c>
      <c r="J212" s="71" t="s">
        <v>391</v>
      </c>
      <c r="K212" s="14"/>
      <c r="L212" s="8"/>
    </row>
    <row r="213" spans="2:21" s="3" customFormat="1" ht="19.5" customHeight="1" x14ac:dyDescent="0.3">
      <c r="B213" s="66" t="s">
        <v>9</v>
      </c>
      <c r="C213" s="67" t="s">
        <v>46</v>
      </c>
      <c r="D213" s="67">
        <v>10</v>
      </c>
      <c r="E213" s="67"/>
      <c r="F213" s="67" t="s">
        <v>200</v>
      </c>
      <c r="G213" s="81">
        <v>3.31</v>
      </c>
      <c r="H213" s="80" t="s">
        <v>60</v>
      </c>
      <c r="I213" s="70">
        <v>170000</v>
      </c>
      <c r="J213" s="71" t="s">
        <v>391</v>
      </c>
      <c r="K213" s="14"/>
      <c r="L213" s="8"/>
    </row>
    <row r="214" spans="2:21" s="78" customFormat="1" ht="19.5" customHeight="1" x14ac:dyDescent="0.3">
      <c r="B214" s="66" t="s">
        <v>9</v>
      </c>
      <c r="C214" s="67" t="s">
        <v>46</v>
      </c>
      <c r="D214" s="67">
        <v>12</v>
      </c>
      <c r="E214" s="67"/>
      <c r="F214" s="67" t="s">
        <v>200</v>
      </c>
      <c r="G214" s="81">
        <v>1.976</v>
      </c>
      <c r="H214" s="80" t="s">
        <v>60</v>
      </c>
      <c r="I214" s="70">
        <v>170000</v>
      </c>
      <c r="J214" s="71" t="s">
        <v>56</v>
      </c>
      <c r="K214" s="14"/>
      <c r="L214" s="8"/>
      <c r="M214" s="3"/>
      <c r="N214" s="3"/>
      <c r="O214" s="3"/>
      <c r="P214" s="3"/>
      <c r="Q214" s="3"/>
      <c r="R214" s="3"/>
      <c r="S214" s="3"/>
      <c r="T214" s="3"/>
      <c r="U214" s="3"/>
    </row>
    <row r="215" spans="2:21" s="3" customFormat="1" ht="19.5" customHeight="1" x14ac:dyDescent="0.3">
      <c r="B215" s="26" t="s">
        <v>9</v>
      </c>
      <c r="C215" s="27" t="s">
        <v>46</v>
      </c>
      <c r="D215" s="27">
        <v>12</v>
      </c>
      <c r="E215" s="27"/>
      <c r="F215" s="27" t="s">
        <v>200</v>
      </c>
      <c r="G215" s="30">
        <v>4.5999999999999999E-2</v>
      </c>
      <c r="H215" s="31" t="s">
        <v>60</v>
      </c>
      <c r="I215" s="38">
        <v>170000</v>
      </c>
      <c r="J215" s="29" t="s">
        <v>56</v>
      </c>
      <c r="K215" s="14"/>
      <c r="L215" s="8"/>
    </row>
    <row r="216" spans="2:21" s="3" customFormat="1" ht="19.5" customHeight="1" x14ac:dyDescent="0.3">
      <c r="B216" s="66" t="s">
        <v>9</v>
      </c>
      <c r="C216" s="67" t="s">
        <v>46</v>
      </c>
      <c r="D216" s="67">
        <v>14</v>
      </c>
      <c r="E216" s="67"/>
      <c r="F216" s="67" t="s">
        <v>200</v>
      </c>
      <c r="G216" s="81">
        <v>1.508</v>
      </c>
      <c r="H216" s="80" t="s">
        <v>60</v>
      </c>
      <c r="I216" s="70">
        <v>170000</v>
      </c>
      <c r="J216" s="71" t="s">
        <v>56</v>
      </c>
      <c r="K216" s="14"/>
      <c r="L216" s="8"/>
    </row>
    <row r="217" spans="2:21" s="3" customFormat="1" ht="19.5" customHeight="1" x14ac:dyDescent="0.3">
      <c r="B217" s="66" t="s">
        <v>9</v>
      </c>
      <c r="C217" s="67" t="s">
        <v>46</v>
      </c>
      <c r="D217" s="67">
        <v>14</v>
      </c>
      <c r="E217" s="67"/>
      <c r="F217" s="67" t="s">
        <v>200</v>
      </c>
      <c r="G217" s="81">
        <v>2.92</v>
      </c>
      <c r="H217" s="80" t="s">
        <v>60</v>
      </c>
      <c r="I217" s="70">
        <v>170000</v>
      </c>
      <c r="J217" s="71" t="s">
        <v>391</v>
      </c>
      <c r="K217" s="14"/>
      <c r="L217" s="8"/>
    </row>
    <row r="218" spans="2:21" s="3" customFormat="1" ht="19.5" customHeight="1" x14ac:dyDescent="0.3">
      <c r="B218" s="26" t="s">
        <v>9</v>
      </c>
      <c r="C218" s="27" t="s">
        <v>46</v>
      </c>
      <c r="D218" s="27">
        <v>16</v>
      </c>
      <c r="E218" s="27"/>
      <c r="F218" s="27" t="s">
        <v>200</v>
      </c>
      <c r="G218" s="30">
        <v>2.0219999999999998</v>
      </c>
      <c r="H218" s="31" t="s">
        <v>60</v>
      </c>
      <c r="I218" s="38">
        <v>170000</v>
      </c>
      <c r="J218" s="29" t="s">
        <v>56</v>
      </c>
      <c r="K218" s="14"/>
      <c r="L218" s="8"/>
    </row>
    <row r="219" spans="2:21" s="3" customFormat="1" ht="19.5" customHeight="1" x14ac:dyDescent="0.3">
      <c r="B219" s="26" t="s">
        <v>9</v>
      </c>
      <c r="C219" s="27" t="s">
        <v>46</v>
      </c>
      <c r="D219" s="27">
        <v>18</v>
      </c>
      <c r="E219" s="27"/>
      <c r="F219" s="27" t="s">
        <v>200</v>
      </c>
      <c r="G219" s="30">
        <v>2.4540000000000002</v>
      </c>
      <c r="H219" s="31" t="s">
        <v>60</v>
      </c>
      <c r="I219" s="38">
        <v>170000</v>
      </c>
      <c r="J219" s="29" t="s">
        <v>56</v>
      </c>
      <c r="K219" s="14"/>
      <c r="L219" s="8"/>
    </row>
    <row r="220" spans="2:21" s="3" customFormat="1" ht="19.5" customHeight="1" x14ac:dyDescent="0.3">
      <c r="B220" s="66" t="s">
        <v>9</v>
      </c>
      <c r="C220" s="67" t="s">
        <v>46</v>
      </c>
      <c r="D220" s="67">
        <v>20</v>
      </c>
      <c r="E220" s="67"/>
      <c r="F220" s="67" t="s">
        <v>200</v>
      </c>
      <c r="G220" s="81">
        <v>2.6560000000000001</v>
      </c>
      <c r="H220" s="80" t="s">
        <v>60</v>
      </c>
      <c r="I220" s="70">
        <v>170000</v>
      </c>
      <c r="J220" s="71" t="s">
        <v>56</v>
      </c>
      <c r="K220" s="14"/>
      <c r="L220" s="8"/>
    </row>
    <row r="221" spans="2:21" s="3" customFormat="1" ht="19.5" customHeight="1" x14ac:dyDescent="0.3">
      <c r="B221" s="26" t="s">
        <v>9</v>
      </c>
      <c r="C221" s="27" t="s">
        <v>46</v>
      </c>
      <c r="D221" s="27">
        <v>20</v>
      </c>
      <c r="E221" s="27"/>
      <c r="F221" s="27" t="s">
        <v>200</v>
      </c>
      <c r="G221" s="30">
        <v>18.018000000000001</v>
      </c>
      <c r="H221" s="31" t="s">
        <v>60</v>
      </c>
      <c r="I221" s="38">
        <v>170000</v>
      </c>
      <c r="J221" s="29" t="s">
        <v>56</v>
      </c>
      <c r="K221" s="14"/>
      <c r="L221" s="8"/>
    </row>
    <row r="222" spans="2:21" s="3" customFormat="1" ht="19.5" customHeight="1" x14ac:dyDescent="0.3">
      <c r="B222" s="66" t="s">
        <v>9</v>
      </c>
      <c r="C222" s="67" t="s">
        <v>46</v>
      </c>
      <c r="D222" s="67">
        <v>22</v>
      </c>
      <c r="E222" s="67"/>
      <c r="F222" s="67" t="s">
        <v>200</v>
      </c>
      <c r="G222" s="81">
        <v>2.1080000000000001</v>
      </c>
      <c r="H222" s="80" t="s">
        <v>60</v>
      </c>
      <c r="I222" s="70">
        <v>170000</v>
      </c>
      <c r="J222" s="71" t="s">
        <v>56</v>
      </c>
      <c r="K222" s="14"/>
      <c r="L222" s="8"/>
    </row>
    <row r="223" spans="2:21" s="78" customFormat="1" ht="19.5" customHeight="1" x14ac:dyDescent="0.3">
      <c r="B223" s="66" t="s">
        <v>9</v>
      </c>
      <c r="C223" s="67" t="s">
        <v>46</v>
      </c>
      <c r="D223" s="67">
        <v>25</v>
      </c>
      <c r="E223" s="67"/>
      <c r="F223" s="67" t="s">
        <v>200</v>
      </c>
      <c r="G223" s="68">
        <v>3.1760000000000002</v>
      </c>
      <c r="H223" s="80" t="s">
        <v>60</v>
      </c>
      <c r="I223" s="70">
        <v>170000</v>
      </c>
      <c r="J223" s="71" t="s">
        <v>56</v>
      </c>
      <c r="K223" s="14"/>
      <c r="L223" s="8"/>
      <c r="M223" s="3"/>
      <c r="N223" s="3"/>
      <c r="O223" s="3"/>
      <c r="P223" s="3"/>
      <c r="Q223" s="3"/>
      <c r="R223" s="3"/>
      <c r="S223" s="3"/>
      <c r="T223" s="3"/>
      <c r="U223" s="3"/>
    </row>
    <row r="224" spans="2:21" s="3" customFormat="1" ht="19.5" customHeight="1" x14ac:dyDescent="0.3">
      <c r="B224" s="26" t="s">
        <v>9</v>
      </c>
      <c r="C224" s="27" t="s">
        <v>46</v>
      </c>
      <c r="D224" s="27">
        <v>28</v>
      </c>
      <c r="E224" s="27"/>
      <c r="F224" s="27" t="s">
        <v>200</v>
      </c>
      <c r="G224" s="30">
        <v>0.88600000000000001</v>
      </c>
      <c r="H224" s="31" t="s">
        <v>60</v>
      </c>
      <c r="I224" s="38">
        <v>170000</v>
      </c>
      <c r="J224" s="29" t="s">
        <v>56</v>
      </c>
      <c r="K224" s="14"/>
      <c r="L224" s="8"/>
    </row>
    <row r="225" spans="2:21" s="78" customFormat="1" ht="19.5" customHeight="1" x14ac:dyDescent="0.3">
      <c r="B225" s="66" t="s">
        <v>9</v>
      </c>
      <c r="C225" s="67" t="s">
        <v>46</v>
      </c>
      <c r="D225" s="67">
        <v>28</v>
      </c>
      <c r="E225" s="67"/>
      <c r="F225" s="67" t="s">
        <v>200</v>
      </c>
      <c r="G225" s="68">
        <v>4.6440000000000001</v>
      </c>
      <c r="H225" s="80" t="s">
        <v>60</v>
      </c>
      <c r="I225" s="70">
        <v>170000</v>
      </c>
      <c r="J225" s="71" t="s">
        <v>56</v>
      </c>
      <c r="K225" s="14"/>
      <c r="L225" s="8"/>
      <c r="M225" s="3"/>
      <c r="N225" s="3"/>
      <c r="O225" s="3"/>
      <c r="P225" s="3"/>
      <c r="Q225" s="3"/>
      <c r="R225" s="3"/>
      <c r="S225" s="3"/>
      <c r="T225" s="3"/>
      <c r="U225" s="3"/>
    </row>
    <row r="226" spans="2:21" s="3" customFormat="1" ht="19.5" customHeight="1" x14ac:dyDescent="0.3">
      <c r="B226" s="26" t="s">
        <v>9</v>
      </c>
      <c r="C226" s="27" t="s">
        <v>46</v>
      </c>
      <c r="D226" s="27">
        <v>30</v>
      </c>
      <c r="E226" s="27"/>
      <c r="F226" s="27" t="s">
        <v>200</v>
      </c>
      <c r="G226" s="30">
        <v>6.867</v>
      </c>
      <c r="H226" s="31" t="s">
        <v>60</v>
      </c>
      <c r="I226" s="38">
        <v>140000</v>
      </c>
      <c r="J226" s="29" t="s">
        <v>56</v>
      </c>
      <c r="K226" s="14"/>
      <c r="L226" s="8"/>
    </row>
    <row r="227" spans="2:21" s="3" customFormat="1" ht="19.5" customHeight="1" x14ac:dyDescent="0.3">
      <c r="B227" s="26" t="s">
        <v>9</v>
      </c>
      <c r="C227" s="27" t="s">
        <v>46</v>
      </c>
      <c r="D227" s="27">
        <v>32</v>
      </c>
      <c r="E227" s="27"/>
      <c r="F227" s="27" t="s">
        <v>200</v>
      </c>
      <c r="G227" s="30">
        <v>5.2069999999999999</v>
      </c>
      <c r="H227" s="31" t="s">
        <v>60</v>
      </c>
      <c r="I227" s="38">
        <v>140000</v>
      </c>
      <c r="J227" s="29" t="s">
        <v>56</v>
      </c>
      <c r="K227" s="14"/>
      <c r="L227" s="8"/>
    </row>
    <row r="228" spans="2:21" s="3" customFormat="1" ht="19.5" customHeight="1" x14ac:dyDescent="0.3">
      <c r="B228" s="26" t="s">
        <v>9</v>
      </c>
      <c r="C228" s="27" t="s">
        <v>46</v>
      </c>
      <c r="D228" s="27">
        <v>34</v>
      </c>
      <c r="E228" s="27"/>
      <c r="F228" s="27" t="s">
        <v>200</v>
      </c>
      <c r="G228" s="30">
        <v>4.0259999999999998</v>
      </c>
      <c r="H228" s="31" t="s">
        <v>60</v>
      </c>
      <c r="I228" s="38">
        <v>140000</v>
      </c>
      <c r="J228" s="29" t="s">
        <v>56</v>
      </c>
      <c r="K228" s="14"/>
      <c r="L228" s="8"/>
    </row>
    <row r="229" spans="2:21" s="3" customFormat="1" ht="19.5" customHeight="1" x14ac:dyDescent="0.3">
      <c r="B229" s="26" t="s">
        <v>9</v>
      </c>
      <c r="C229" s="27" t="s">
        <v>46</v>
      </c>
      <c r="D229" s="27">
        <v>35</v>
      </c>
      <c r="E229" s="27"/>
      <c r="F229" s="27" t="s">
        <v>200</v>
      </c>
      <c r="G229" s="30">
        <v>2.9820000000000002</v>
      </c>
      <c r="H229" s="31" t="s">
        <v>60</v>
      </c>
      <c r="I229" s="38">
        <v>140000</v>
      </c>
      <c r="J229" s="29" t="s">
        <v>56</v>
      </c>
      <c r="K229" s="14"/>
      <c r="L229" s="8"/>
    </row>
    <row r="230" spans="2:21" s="3" customFormat="1" ht="19.5" customHeight="1" x14ac:dyDescent="0.3">
      <c r="B230" s="26" t="s">
        <v>9</v>
      </c>
      <c r="C230" s="27" t="s">
        <v>46</v>
      </c>
      <c r="D230" s="27">
        <v>36</v>
      </c>
      <c r="E230" s="27"/>
      <c r="F230" s="27" t="s">
        <v>200</v>
      </c>
      <c r="G230" s="30">
        <v>9.859</v>
      </c>
      <c r="H230" s="31" t="s">
        <v>60</v>
      </c>
      <c r="I230" s="38">
        <v>140000</v>
      </c>
      <c r="J230" s="29" t="s">
        <v>56</v>
      </c>
      <c r="K230" s="14"/>
      <c r="L230" s="8"/>
    </row>
    <row r="231" spans="2:21" s="3" customFormat="1" ht="19.5" customHeight="1" x14ac:dyDescent="0.3">
      <c r="B231" s="26" t="s">
        <v>9</v>
      </c>
      <c r="C231" s="27" t="s">
        <v>46</v>
      </c>
      <c r="D231" s="27">
        <v>38</v>
      </c>
      <c r="E231" s="27"/>
      <c r="F231" s="27" t="s">
        <v>200</v>
      </c>
      <c r="G231" s="30">
        <v>2.149</v>
      </c>
      <c r="H231" s="31" t="s">
        <v>60</v>
      </c>
      <c r="I231" s="38">
        <v>140000</v>
      </c>
      <c r="J231" s="29" t="s">
        <v>56</v>
      </c>
      <c r="K231" s="14"/>
      <c r="L231" s="8"/>
    </row>
    <row r="232" spans="2:21" s="3" customFormat="1" ht="19.5" customHeight="1" x14ac:dyDescent="0.3">
      <c r="B232" s="26" t="s">
        <v>9</v>
      </c>
      <c r="C232" s="27" t="s">
        <v>46</v>
      </c>
      <c r="D232" s="27">
        <v>40</v>
      </c>
      <c r="E232" s="27"/>
      <c r="F232" s="27" t="s">
        <v>200</v>
      </c>
      <c r="G232" s="30">
        <v>6.3259999999999996</v>
      </c>
      <c r="H232" s="31" t="s">
        <v>60</v>
      </c>
      <c r="I232" s="38">
        <v>140000</v>
      </c>
      <c r="J232" s="29" t="s">
        <v>56</v>
      </c>
      <c r="K232" s="14"/>
      <c r="L232" s="8"/>
    </row>
    <row r="233" spans="2:21" s="3" customFormat="1" ht="19.5" customHeight="1" x14ac:dyDescent="0.3">
      <c r="B233" s="26" t="s">
        <v>9</v>
      </c>
      <c r="C233" s="27" t="s">
        <v>46</v>
      </c>
      <c r="D233" s="27">
        <v>42</v>
      </c>
      <c r="E233" s="27"/>
      <c r="F233" s="27" t="s">
        <v>200</v>
      </c>
      <c r="G233" s="30">
        <v>3.9660000000000002</v>
      </c>
      <c r="H233" s="31" t="s">
        <v>60</v>
      </c>
      <c r="I233" s="38">
        <v>140000</v>
      </c>
      <c r="J233" s="29" t="s">
        <v>56</v>
      </c>
      <c r="K233" s="14"/>
      <c r="L233" s="8"/>
    </row>
    <row r="234" spans="2:21" s="3" customFormat="1" ht="19.5" customHeight="1" x14ac:dyDescent="0.3">
      <c r="B234" s="26" t="s">
        <v>9</v>
      </c>
      <c r="C234" s="27" t="s">
        <v>46</v>
      </c>
      <c r="D234" s="27">
        <v>45</v>
      </c>
      <c r="E234" s="27"/>
      <c r="F234" s="27" t="s">
        <v>200</v>
      </c>
      <c r="G234" s="30">
        <v>3.262</v>
      </c>
      <c r="H234" s="31" t="s">
        <v>60</v>
      </c>
      <c r="I234" s="38">
        <v>140000</v>
      </c>
      <c r="J234" s="29" t="s">
        <v>56</v>
      </c>
      <c r="K234" s="14"/>
      <c r="L234" s="8"/>
    </row>
    <row r="235" spans="2:21" s="3" customFormat="1" ht="19.5" customHeight="1" x14ac:dyDescent="0.3">
      <c r="B235" s="26" t="s">
        <v>9</v>
      </c>
      <c r="C235" s="27" t="s">
        <v>46</v>
      </c>
      <c r="D235" s="27">
        <v>48</v>
      </c>
      <c r="E235" s="27"/>
      <c r="F235" s="27" t="s">
        <v>200</v>
      </c>
      <c r="G235" s="30">
        <v>5.3849999999999998</v>
      </c>
      <c r="H235" s="31" t="s">
        <v>60</v>
      </c>
      <c r="I235" s="38">
        <v>140000</v>
      </c>
      <c r="J235" s="29" t="s">
        <v>56</v>
      </c>
      <c r="K235" s="14"/>
      <c r="L235" s="8"/>
    </row>
    <row r="236" spans="2:21" s="3" customFormat="1" ht="19.5" customHeight="1" x14ac:dyDescent="0.3">
      <c r="B236" s="26" t="s">
        <v>9</v>
      </c>
      <c r="C236" s="27" t="s">
        <v>46</v>
      </c>
      <c r="D236" s="27">
        <v>50</v>
      </c>
      <c r="E236" s="27"/>
      <c r="F236" s="27" t="s">
        <v>200</v>
      </c>
      <c r="G236" s="30">
        <v>3.3180000000000001</v>
      </c>
      <c r="H236" s="31" t="s">
        <v>60</v>
      </c>
      <c r="I236" s="38">
        <v>140000</v>
      </c>
      <c r="J236" s="29" t="s">
        <v>56</v>
      </c>
      <c r="K236" s="14"/>
      <c r="L236" s="8"/>
    </row>
    <row r="237" spans="2:21" s="3" customFormat="1" ht="19.5" customHeight="1" x14ac:dyDescent="0.3">
      <c r="B237" s="26" t="s">
        <v>9</v>
      </c>
      <c r="C237" s="27" t="s">
        <v>46</v>
      </c>
      <c r="D237" s="27">
        <v>52</v>
      </c>
      <c r="E237" s="27"/>
      <c r="F237" s="27" t="s">
        <v>200</v>
      </c>
      <c r="G237" s="30">
        <v>3.121</v>
      </c>
      <c r="H237" s="31" t="s">
        <v>60</v>
      </c>
      <c r="I237" s="38">
        <v>140000</v>
      </c>
      <c r="J237" s="29" t="s">
        <v>56</v>
      </c>
      <c r="K237" s="14"/>
      <c r="L237" s="8"/>
    </row>
    <row r="238" spans="2:21" s="3" customFormat="1" ht="19.5" customHeight="1" x14ac:dyDescent="0.3">
      <c r="B238" s="26" t="s">
        <v>9</v>
      </c>
      <c r="C238" s="27" t="s">
        <v>46</v>
      </c>
      <c r="D238" s="27">
        <v>56</v>
      </c>
      <c r="E238" s="27"/>
      <c r="F238" s="27" t="s">
        <v>200</v>
      </c>
      <c r="G238" s="30">
        <v>5.6269999999999998</v>
      </c>
      <c r="H238" s="31" t="s">
        <v>60</v>
      </c>
      <c r="I238" s="38">
        <v>140000</v>
      </c>
      <c r="J238" s="29" t="s">
        <v>56</v>
      </c>
      <c r="K238" s="14"/>
      <c r="L238" s="8"/>
      <c r="N238" s="3" t="s">
        <v>6</v>
      </c>
    </row>
    <row r="239" spans="2:21" s="3" customFormat="1" ht="19.5" customHeight="1" x14ac:dyDescent="0.3">
      <c r="B239" s="26" t="s">
        <v>9</v>
      </c>
      <c r="C239" s="27" t="s">
        <v>46</v>
      </c>
      <c r="D239" s="27">
        <v>60</v>
      </c>
      <c r="E239" s="27"/>
      <c r="F239" s="27" t="s">
        <v>200</v>
      </c>
      <c r="G239" s="30">
        <v>17.628</v>
      </c>
      <c r="H239" s="31" t="s">
        <v>178</v>
      </c>
      <c r="I239" s="38">
        <v>140000</v>
      </c>
      <c r="J239" s="29" t="s">
        <v>56</v>
      </c>
      <c r="K239" s="14"/>
      <c r="L239" s="8"/>
    </row>
    <row r="240" spans="2:21" s="3" customFormat="1" ht="19.5" customHeight="1" x14ac:dyDescent="0.3">
      <c r="B240" s="26" t="s">
        <v>9</v>
      </c>
      <c r="C240" s="27" t="s">
        <v>46</v>
      </c>
      <c r="D240" s="27">
        <v>65</v>
      </c>
      <c r="E240" s="27"/>
      <c r="F240" s="27" t="s">
        <v>200</v>
      </c>
      <c r="G240" s="30">
        <v>1.893</v>
      </c>
      <c r="H240" s="31" t="s">
        <v>60</v>
      </c>
      <c r="I240" s="38">
        <v>140000</v>
      </c>
      <c r="J240" s="29" t="s">
        <v>56</v>
      </c>
      <c r="K240" s="14"/>
      <c r="L240" s="8"/>
    </row>
    <row r="241" spans="2:21" s="3" customFormat="1" ht="19.5" customHeight="1" x14ac:dyDescent="0.3">
      <c r="B241" s="26" t="s">
        <v>9</v>
      </c>
      <c r="C241" s="27" t="s">
        <v>46</v>
      </c>
      <c r="D241" s="27">
        <v>68</v>
      </c>
      <c r="E241" s="27"/>
      <c r="F241" s="27" t="s">
        <v>200</v>
      </c>
      <c r="G241" s="30">
        <v>5.9950000000000001</v>
      </c>
      <c r="H241" s="31" t="s">
        <v>60</v>
      </c>
      <c r="I241" s="38">
        <v>140000</v>
      </c>
      <c r="J241" s="29" t="s">
        <v>56</v>
      </c>
      <c r="K241" s="14"/>
      <c r="L241" s="8"/>
    </row>
    <row r="242" spans="2:21" s="3" customFormat="1" ht="19.5" customHeight="1" x14ac:dyDescent="0.3">
      <c r="B242" s="26" t="s">
        <v>9</v>
      </c>
      <c r="C242" s="27" t="s">
        <v>46</v>
      </c>
      <c r="D242" s="27">
        <v>70</v>
      </c>
      <c r="E242" s="27"/>
      <c r="F242" s="27" t="s">
        <v>200</v>
      </c>
      <c r="G242" s="30">
        <v>0.30499999999999999</v>
      </c>
      <c r="H242" s="31"/>
      <c r="I242" s="38">
        <v>140000</v>
      </c>
      <c r="J242" s="29" t="s">
        <v>56</v>
      </c>
      <c r="K242" s="14"/>
      <c r="L242" s="8"/>
    </row>
    <row r="243" spans="2:21" s="3" customFormat="1" ht="19.5" customHeight="1" x14ac:dyDescent="0.3">
      <c r="B243" s="26" t="s">
        <v>9</v>
      </c>
      <c r="C243" s="27" t="s">
        <v>46</v>
      </c>
      <c r="D243" s="27">
        <v>75</v>
      </c>
      <c r="E243" s="27"/>
      <c r="F243" s="27" t="s">
        <v>200</v>
      </c>
      <c r="G243" s="30">
        <v>4.6429999999999998</v>
      </c>
      <c r="H243" s="31" t="s">
        <v>60</v>
      </c>
      <c r="I243" s="38">
        <v>140000</v>
      </c>
      <c r="J243" s="29" t="s">
        <v>56</v>
      </c>
      <c r="K243" s="14"/>
      <c r="L243" s="8"/>
    </row>
    <row r="244" spans="2:21" s="3" customFormat="1" ht="19.5" customHeight="1" x14ac:dyDescent="0.3">
      <c r="B244" s="26" t="s">
        <v>9</v>
      </c>
      <c r="C244" s="27" t="s">
        <v>46</v>
      </c>
      <c r="D244" s="27">
        <v>80</v>
      </c>
      <c r="E244" s="27"/>
      <c r="F244" s="27" t="s">
        <v>200</v>
      </c>
      <c r="G244" s="30">
        <v>2.59</v>
      </c>
      <c r="H244" s="31" t="s">
        <v>61</v>
      </c>
      <c r="I244" s="38">
        <v>140000</v>
      </c>
      <c r="J244" s="29" t="s">
        <v>56</v>
      </c>
      <c r="K244" s="14"/>
      <c r="L244" s="8"/>
    </row>
    <row r="245" spans="2:21" s="3" customFormat="1" ht="19.5" customHeight="1" x14ac:dyDescent="0.3">
      <c r="B245" s="66" t="s">
        <v>9</v>
      </c>
      <c r="C245" s="67" t="s">
        <v>46</v>
      </c>
      <c r="D245" s="67">
        <v>85</v>
      </c>
      <c r="E245" s="67"/>
      <c r="F245" s="67" t="s">
        <v>200</v>
      </c>
      <c r="G245" s="81">
        <v>3.31</v>
      </c>
      <c r="H245" s="80" t="s">
        <v>60</v>
      </c>
      <c r="I245" s="70">
        <v>170000</v>
      </c>
      <c r="J245" s="71" t="s">
        <v>391</v>
      </c>
      <c r="K245" s="14"/>
      <c r="L245" s="8"/>
    </row>
    <row r="246" spans="2:21" s="3" customFormat="1" ht="19.5" customHeight="1" x14ac:dyDescent="0.3">
      <c r="B246" s="26" t="s">
        <v>9</v>
      </c>
      <c r="C246" s="27" t="s">
        <v>46</v>
      </c>
      <c r="D246" s="27">
        <v>90</v>
      </c>
      <c r="E246" s="27"/>
      <c r="F246" s="27" t="s">
        <v>200</v>
      </c>
      <c r="G246" s="30">
        <v>5.2549999999999999</v>
      </c>
      <c r="H246" s="31" t="s">
        <v>61</v>
      </c>
      <c r="I246" s="38">
        <v>140000</v>
      </c>
      <c r="J246" s="29" t="s">
        <v>56</v>
      </c>
      <c r="K246" s="14"/>
      <c r="L246" s="8"/>
    </row>
    <row r="247" spans="2:21" s="3" customFormat="1" ht="19.5" customHeight="1" x14ac:dyDescent="0.3">
      <c r="B247" s="26" t="s">
        <v>9</v>
      </c>
      <c r="C247" s="27" t="s">
        <v>46</v>
      </c>
      <c r="D247" s="27">
        <v>100</v>
      </c>
      <c r="E247" s="27"/>
      <c r="F247" s="27" t="s">
        <v>200</v>
      </c>
      <c r="G247" s="30">
        <v>5.48</v>
      </c>
      <c r="H247" s="31" t="s">
        <v>61</v>
      </c>
      <c r="I247" s="38">
        <v>140000</v>
      </c>
      <c r="J247" s="29" t="s">
        <v>56</v>
      </c>
      <c r="K247" s="14"/>
      <c r="L247" s="8"/>
    </row>
    <row r="248" spans="2:21" s="3" customFormat="1" ht="19.5" customHeight="1" x14ac:dyDescent="0.3">
      <c r="B248" s="26" t="s">
        <v>9</v>
      </c>
      <c r="C248" s="27" t="s">
        <v>46</v>
      </c>
      <c r="D248" s="27">
        <v>110</v>
      </c>
      <c r="E248" s="27"/>
      <c r="F248" s="27" t="s">
        <v>200</v>
      </c>
      <c r="G248" s="30">
        <v>5.6980000000000004</v>
      </c>
      <c r="H248" s="31" t="s">
        <v>60</v>
      </c>
      <c r="I248" s="38">
        <v>140000</v>
      </c>
      <c r="J248" s="29" t="s">
        <v>56</v>
      </c>
      <c r="K248" s="14"/>
      <c r="L248" s="8"/>
    </row>
    <row r="249" spans="2:21" s="78" customFormat="1" ht="19.5" customHeight="1" x14ac:dyDescent="0.3">
      <c r="B249" s="66" t="s">
        <v>9</v>
      </c>
      <c r="C249" s="67" t="s">
        <v>46</v>
      </c>
      <c r="D249" s="67">
        <v>120</v>
      </c>
      <c r="E249" s="67"/>
      <c r="F249" s="67" t="s">
        <v>200</v>
      </c>
      <c r="G249" s="81">
        <v>3.1</v>
      </c>
      <c r="H249" s="80" t="s">
        <v>60</v>
      </c>
      <c r="I249" s="70">
        <v>140000</v>
      </c>
      <c r="J249" s="71" t="s">
        <v>56</v>
      </c>
      <c r="K249" s="14"/>
      <c r="L249" s="8"/>
      <c r="M249" s="3"/>
      <c r="N249" s="3"/>
      <c r="O249" s="3"/>
      <c r="P249" s="3"/>
      <c r="Q249" s="3"/>
      <c r="R249" s="3"/>
      <c r="S249" s="3"/>
      <c r="T249" s="3"/>
      <c r="U249" s="3"/>
    </row>
    <row r="250" spans="2:21" s="3" customFormat="1" ht="19.5" customHeight="1" x14ac:dyDescent="0.3">
      <c r="B250" s="26" t="s">
        <v>9</v>
      </c>
      <c r="C250" s="27" t="s">
        <v>46</v>
      </c>
      <c r="D250" s="27">
        <v>130</v>
      </c>
      <c r="E250" s="27"/>
      <c r="F250" s="27" t="s">
        <v>200</v>
      </c>
      <c r="G250" s="30">
        <v>3.89</v>
      </c>
      <c r="H250" s="31" t="s">
        <v>61</v>
      </c>
      <c r="I250" s="38">
        <v>140000</v>
      </c>
      <c r="J250" s="29" t="s">
        <v>56</v>
      </c>
      <c r="K250" s="14"/>
      <c r="L250" s="8"/>
    </row>
    <row r="251" spans="2:21" s="3" customFormat="1" ht="19.5" customHeight="1" x14ac:dyDescent="0.3">
      <c r="B251" s="26" t="s">
        <v>9</v>
      </c>
      <c r="C251" s="27" t="s">
        <v>46</v>
      </c>
      <c r="D251" s="27">
        <v>140</v>
      </c>
      <c r="E251" s="27"/>
      <c r="F251" s="27" t="s">
        <v>200</v>
      </c>
      <c r="G251" s="30">
        <v>3.3210000000000002</v>
      </c>
      <c r="H251" s="31" t="s">
        <v>178</v>
      </c>
      <c r="I251" s="38">
        <v>140000</v>
      </c>
      <c r="J251" s="29" t="s">
        <v>56</v>
      </c>
      <c r="K251" s="14"/>
      <c r="L251" s="8"/>
    </row>
    <row r="252" spans="2:21" s="3" customFormat="1" ht="19.5" customHeight="1" x14ac:dyDescent="0.3">
      <c r="B252" s="26" t="s">
        <v>9</v>
      </c>
      <c r="C252" s="27" t="s">
        <v>46</v>
      </c>
      <c r="D252" s="27">
        <v>150</v>
      </c>
      <c r="E252" s="27"/>
      <c r="F252" s="27" t="s">
        <v>200</v>
      </c>
      <c r="G252" s="30">
        <v>8.8010000000000002</v>
      </c>
      <c r="H252" s="31" t="s">
        <v>61</v>
      </c>
      <c r="I252" s="38">
        <v>140000</v>
      </c>
      <c r="J252" s="29" t="s">
        <v>56</v>
      </c>
      <c r="K252" s="14"/>
      <c r="L252" s="8"/>
    </row>
    <row r="253" spans="2:21" s="3" customFormat="1" ht="19.5" customHeight="1" x14ac:dyDescent="0.3">
      <c r="B253" s="26" t="s">
        <v>9</v>
      </c>
      <c r="C253" s="27" t="s">
        <v>46</v>
      </c>
      <c r="D253" s="27">
        <v>160</v>
      </c>
      <c r="E253" s="27"/>
      <c r="F253" s="27" t="s">
        <v>200</v>
      </c>
      <c r="G253" s="30">
        <v>3.0539999999999998</v>
      </c>
      <c r="H253" s="31" t="s">
        <v>60</v>
      </c>
      <c r="I253" s="38">
        <v>140000</v>
      </c>
      <c r="J253" s="29" t="s">
        <v>56</v>
      </c>
      <c r="K253" s="14"/>
      <c r="L253" s="8"/>
    </row>
    <row r="254" spans="2:21" s="3" customFormat="1" ht="19.5" customHeight="1" x14ac:dyDescent="0.3">
      <c r="B254" s="26" t="s">
        <v>9</v>
      </c>
      <c r="C254" s="27" t="s">
        <v>46</v>
      </c>
      <c r="D254" s="27">
        <v>170</v>
      </c>
      <c r="E254" s="27"/>
      <c r="F254" s="27" t="s">
        <v>200</v>
      </c>
      <c r="G254" s="30">
        <v>1.351</v>
      </c>
      <c r="H254" s="31" t="s">
        <v>61</v>
      </c>
      <c r="I254" s="38">
        <v>140000</v>
      </c>
      <c r="J254" s="29" t="s">
        <v>56</v>
      </c>
      <c r="K254" s="14"/>
      <c r="L254" s="8"/>
    </row>
    <row r="255" spans="2:21" s="3" customFormat="1" ht="19.5" customHeight="1" x14ac:dyDescent="0.3">
      <c r="B255" s="26" t="s">
        <v>9</v>
      </c>
      <c r="C255" s="27" t="s">
        <v>46</v>
      </c>
      <c r="D255" s="27">
        <v>180</v>
      </c>
      <c r="E255" s="27"/>
      <c r="F255" s="27" t="s">
        <v>200</v>
      </c>
      <c r="G255" s="30">
        <v>8.6229999999999993</v>
      </c>
      <c r="H255" s="31" t="s">
        <v>60</v>
      </c>
      <c r="I255" s="38">
        <v>140000</v>
      </c>
      <c r="J255" s="29" t="s">
        <v>56</v>
      </c>
      <c r="K255" s="14"/>
      <c r="L255" s="8"/>
    </row>
    <row r="256" spans="2:21" s="3" customFormat="1" ht="19.5" customHeight="1" x14ac:dyDescent="0.3">
      <c r="B256" s="26" t="s">
        <v>9</v>
      </c>
      <c r="C256" s="27" t="s">
        <v>46</v>
      </c>
      <c r="D256" s="27">
        <v>190</v>
      </c>
      <c r="E256" s="27"/>
      <c r="F256" s="27" t="s">
        <v>200</v>
      </c>
      <c r="G256" s="30">
        <v>3.9849999999999999</v>
      </c>
      <c r="H256" s="31" t="s">
        <v>61</v>
      </c>
      <c r="I256" s="38">
        <v>140000</v>
      </c>
      <c r="J256" s="29" t="s">
        <v>56</v>
      </c>
      <c r="K256" s="14"/>
      <c r="L256" s="8"/>
    </row>
    <row r="257" spans="2:12" s="3" customFormat="1" ht="19.5" customHeight="1" x14ac:dyDescent="0.3">
      <c r="B257" s="26" t="s">
        <v>9</v>
      </c>
      <c r="C257" s="27" t="s">
        <v>46</v>
      </c>
      <c r="D257" s="27">
        <v>200</v>
      </c>
      <c r="E257" s="27"/>
      <c r="F257" s="27" t="s">
        <v>201</v>
      </c>
      <c r="G257" s="30">
        <v>13.999000000000001</v>
      </c>
      <c r="H257" s="31" t="s">
        <v>61</v>
      </c>
      <c r="I257" s="38">
        <v>140000</v>
      </c>
      <c r="J257" s="29" t="s">
        <v>56</v>
      </c>
      <c r="K257" s="14"/>
      <c r="L257" s="8"/>
    </row>
    <row r="258" spans="2:12" s="3" customFormat="1" ht="19.5" customHeight="1" x14ac:dyDescent="0.3">
      <c r="B258" s="26" t="s">
        <v>9</v>
      </c>
      <c r="C258" s="27" t="s">
        <v>238</v>
      </c>
      <c r="D258" s="27">
        <v>40</v>
      </c>
      <c r="E258" s="27"/>
      <c r="F258" s="27" t="s">
        <v>239</v>
      </c>
      <c r="G258" s="30">
        <v>1.4419999999999999</v>
      </c>
      <c r="H258" s="31" t="s">
        <v>60</v>
      </c>
      <c r="I258" s="38">
        <v>250000</v>
      </c>
      <c r="J258" s="29" t="s">
        <v>56</v>
      </c>
      <c r="K258" s="14"/>
      <c r="L258" s="8"/>
    </row>
    <row r="259" spans="2:12" s="3" customFormat="1" ht="19.5" customHeight="1" x14ac:dyDescent="0.3">
      <c r="B259" s="26" t="s">
        <v>9</v>
      </c>
      <c r="C259" s="27" t="s">
        <v>238</v>
      </c>
      <c r="D259" s="27">
        <v>40</v>
      </c>
      <c r="E259" s="27"/>
      <c r="F259" s="27" t="s">
        <v>240</v>
      </c>
      <c r="G259" s="30">
        <v>0.65</v>
      </c>
      <c r="H259" s="31" t="s">
        <v>60</v>
      </c>
      <c r="I259" s="38">
        <v>250000</v>
      </c>
      <c r="J259" s="29" t="s">
        <v>56</v>
      </c>
      <c r="K259" s="14"/>
      <c r="L259" s="8"/>
    </row>
    <row r="260" spans="2:12" s="3" customFormat="1" ht="18.75" customHeight="1" x14ac:dyDescent="0.3">
      <c r="B260" s="26" t="s">
        <v>9</v>
      </c>
      <c r="C260" s="27" t="s">
        <v>1</v>
      </c>
      <c r="D260" s="27">
        <v>12</v>
      </c>
      <c r="E260" s="27"/>
      <c r="F260" s="27" t="s">
        <v>98</v>
      </c>
      <c r="G260" s="30">
        <v>0.63400000000000001</v>
      </c>
      <c r="H260" s="31" t="s">
        <v>60</v>
      </c>
      <c r="I260" s="38">
        <v>110000</v>
      </c>
      <c r="J260" s="29" t="s">
        <v>56</v>
      </c>
      <c r="K260" s="12"/>
      <c r="L260" s="8"/>
    </row>
    <row r="261" spans="2:12" s="3" customFormat="1" ht="18.75" customHeight="1" x14ac:dyDescent="0.3">
      <c r="B261" s="26" t="s">
        <v>9</v>
      </c>
      <c r="C261" s="27" t="s">
        <v>1</v>
      </c>
      <c r="D261" s="27">
        <v>14</v>
      </c>
      <c r="E261" s="27"/>
      <c r="F261" s="27" t="s">
        <v>98</v>
      </c>
      <c r="G261" s="30">
        <v>3.8559999999999999</v>
      </c>
      <c r="H261" s="31" t="s">
        <v>60</v>
      </c>
      <c r="I261" s="38">
        <v>110000</v>
      </c>
      <c r="J261" s="29" t="s">
        <v>56</v>
      </c>
      <c r="K261" s="12"/>
      <c r="L261" s="8"/>
    </row>
    <row r="262" spans="2:12" s="3" customFormat="1" ht="18.75" customHeight="1" x14ac:dyDescent="0.3">
      <c r="B262" s="26" t="s">
        <v>9</v>
      </c>
      <c r="C262" s="27" t="s">
        <v>1</v>
      </c>
      <c r="D262" s="27">
        <v>16</v>
      </c>
      <c r="E262" s="27"/>
      <c r="F262" s="27" t="s">
        <v>98</v>
      </c>
      <c r="G262" s="30">
        <v>3.9580000000000002</v>
      </c>
      <c r="H262" s="31" t="s">
        <v>60</v>
      </c>
      <c r="I262" s="38">
        <v>110000</v>
      </c>
      <c r="J262" s="29" t="s">
        <v>56</v>
      </c>
      <c r="K262" s="12"/>
      <c r="L262" s="8"/>
    </row>
    <row r="263" spans="2:12" s="3" customFormat="1" ht="18.75" customHeight="1" x14ac:dyDescent="0.3">
      <c r="B263" s="26" t="s">
        <v>9</v>
      </c>
      <c r="C263" s="27" t="s">
        <v>1</v>
      </c>
      <c r="D263" s="27">
        <v>18</v>
      </c>
      <c r="E263" s="27"/>
      <c r="F263" s="27" t="s">
        <v>98</v>
      </c>
      <c r="G263" s="30">
        <v>4.0170000000000003</v>
      </c>
      <c r="H263" s="31" t="s">
        <v>60</v>
      </c>
      <c r="I263" s="38">
        <v>110000</v>
      </c>
      <c r="J263" s="29" t="s">
        <v>56</v>
      </c>
      <c r="K263" s="12"/>
      <c r="L263" s="8"/>
    </row>
    <row r="264" spans="2:12" s="3" customFormat="1" ht="18.75" customHeight="1" x14ac:dyDescent="0.3">
      <c r="B264" s="26" t="s">
        <v>9</v>
      </c>
      <c r="C264" s="27" t="s">
        <v>1</v>
      </c>
      <c r="D264" s="27">
        <v>20</v>
      </c>
      <c r="E264" s="27"/>
      <c r="F264" s="27" t="s">
        <v>186</v>
      </c>
      <c r="G264" s="30">
        <v>3.1829999999999998</v>
      </c>
      <c r="H264" s="31" t="s">
        <v>60</v>
      </c>
      <c r="I264" s="38">
        <v>110000</v>
      </c>
      <c r="J264" s="29" t="s">
        <v>56</v>
      </c>
      <c r="K264" s="12"/>
      <c r="L264" s="8"/>
    </row>
    <row r="265" spans="2:12" s="3" customFormat="1" ht="19.5" customHeight="1" x14ac:dyDescent="0.3">
      <c r="B265" s="26" t="s">
        <v>9</v>
      </c>
      <c r="C265" s="27" t="s">
        <v>1</v>
      </c>
      <c r="D265" s="27">
        <v>22</v>
      </c>
      <c r="E265" s="27"/>
      <c r="F265" s="27" t="s">
        <v>184</v>
      </c>
      <c r="G265" s="30">
        <v>3.31</v>
      </c>
      <c r="H265" s="32" t="s">
        <v>60</v>
      </c>
      <c r="I265" s="38">
        <v>110000</v>
      </c>
      <c r="J265" s="29" t="s">
        <v>56</v>
      </c>
      <c r="K265" s="12"/>
      <c r="L265" s="8"/>
    </row>
    <row r="266" spans="2:12" s="3" customFormat="1" ht="19.5" customHeight="1" x14ac:dyDescent="0.3">
      <c r="B266" s="26" t="s">
        <v>9</v>
      </c>
      <c r="C266" s="27" t="s">
        <v>1</v>
      </c>
      <c r="D266" s="27">
        <v>25</v>
      </c>
      <c r="E266" s="27"/>
      <c r="F266" s="27" t="s">
        <v>184</v>
      </c>
      <c r="G266" s="30">
        <v>2.488</v>
      </c>
      <c r="H266" s="32" t="s">
        <v>60</v>
      </c>
      <c r="I266" s="38">
        <v>110000</v>
      </c>
      <c r="J266" s="29" t="s">
        <v>56</v>
      </c>
      <c r="K266" s="12"/>
      <c r="L266" s="8"/>
    </row>
    <row r="267" spans="2:12" s="3" customFormat="1" ht="19.5" customHeight="1" x14ac:dyDescent="0.3">
      <c r="B267" s="26" t="s">
        <v>9</v>
      </c>
      <c r="C267" s="27" t="s">
        <v>1</v>
      </c>
      <c r="D267" s="27">
        <v>28</v>
      </c>
      <c r="E267" s="27"/>
      <c r="F267" s="27" t="s">
        <v>184</v>
      </c>
      <c r="G267" s="30">
        <v>1.956</v>
      </c>
      <c r="H267" s="32" t="s">
        <v>60</v>
      </c>
      <c r="I267" s="38">
        <v>110000</v>
      </c>
      <c r="J267" s="29" t="s">
        <v>56</v>
      </c>
      <c r="K267" s="12"/>
      <c r="L267" s="8"/>
    </row>
    <row r="268" spans="2:12" s="3" customFormat="1" ht="19.5" customHeight="1" x14ac:dyDescent="0.3">
      <c r="B268" s="26" t="s">
        <v>9</v>
      </c>
      <c r="C268" s="27" t="s">
        <v>1</v>
      </c>
      <c r="D268" s="27">
        <v>30</v>
      </c>
      <c r="E268" s="27"/>
      <c r="F268" s="27" t="s">
        <v>254</v>
      </c>
      <c r="G268" s="30">
        <v>1.8</v>
      </c>
      <c r="H268" s="32" t="s">
        <v>60</v>
      </c>
      <c r="I268" s="38">
        <v>110000</v>
      </c>
      <c r="J268" s="29" t="s">
        <v>56</v>
      </c>
      <c r="K268" s="12"/>
      <c r="L268" s="8"/>
    </row>
    <row r="269" spans="2:12" s="3" customFormat="1" ht="19.5" customHeight="1" x14ac:dyDescent="0.3">
      <c r="B269" s="26" t="s">
        <v>9</v>
      </c>
      <c r="C269" s="27" t="s">
        <v>1</v>
      </c>
      <c r="D269" s="27">
        <v>36</v>
      </c>
      <c r="E269" s="27"/>
      <c r="F269" s="27" t="s">
        <v>147</v>
      </c>
      <c r="G269" s="30">
        <v>0.25</v>
      </c>
      <c r="H269" s="28" t="s">
        <v>60</v>
      </c>
      <c r="I269" s="38">
        <v>108000</v>
      </c>
      <c r="J269" s="29" t="s">
        <v>56</v>
      </c>
      <c r="K269" s="12"/>
      <c r="L269" s="10"/>
    </row>
    <row r="270" spans="2:12" s="3" customFormat="1" ht="19.5" customHeight="1" x14ac:dyDescent="0.3">
      <c r="B270" s="26" t="s">
        <v>9</v>
      </c>
      <c r="C270" s="27" t="s">
        <v>1</v>
      </c>
      <c r="D270" s="27">
        <v>36</v>
      </c>
      <c r="E270" s="27"/>
      <c r="F270" s="27" t="s">
        <v>147</v>
      </c>
      <c r="G270" s="30">
        <v>2.6709999999999998</v>
      </c>
      <c r="H270" s="28" t="s">
        <v>61</v>
      </c>
      <c r="I270" s="38">
        <v>108000</v>
      </c>
      <c r="J270" s="29" t="s">
        <v>56</v>
      </c>
      <c r="K270" s="12"/>
      <c r="L270" s="10"/>
    </row>
    <row r="271" spans="2:12" s="3" customFormat="1" ht="19.5" customHeight="1" x14ac:dyDescent="0.3">
      <c r="B271" s="26" t="s">
        <v>9</v>
      </c>
      <c r="C271" s="27" t="s">
        <v>1</v>
      </c>
      <c r="D271" s="27">
        <v>40</v>
      </c>
      <c r="E271" s="27"/>
      <c r="F271" s="27" t="s">
        <v>147</v>
      </c>
      <c r="G271" s="30">
        <v>3</v>
      </c>
      <c r="H271" s="28" t="s">
        <v>60</v>
      </c>
      <c r="I271" s="38">
        <v>108000</v>
      </c>
      <c r="J271" s="29" t="s">
        <v>56</v>
      </c>
      <c r="K271" s="12"/>
      <c r="L271" s="10"/>
    </row>
    <row r="272" spans="2:12" s="3" customFormat="1" ht="19.5" customHeight="1" x14ac:dyDescent="0.3">
      <c r="B272" s="26" t="s">
        <v>9</v>
      </c>
      <c r="C272" s="27" t="s">
        <v>1</v>
      </c>
      <c r="D272" s="27">
        <v>45</v>
      </c>
      <c r="E272" s="27"/>
      <c r="F272" s="27" t="s">
        <v>185</v>
      </c>
      <c r="G272" s="30">
        <v>0.14499999999999999</v>
      </c>
      <c r="H272" s="28" t="s">
        <v>60</v>
      </c>
      <c r="I272" s="38">
        <v>108000</v>
      </c>
      <c r="J272" s="29" t="s">
        <v>56</v>
      </c>
      <c r="K272" s="12"/>
      <c r="L272" s="10"/>
    </row>
    <row r="273" spans="2:21" s="3" customFormat="1" ht="19.5" customHeight="1" x14ac:dyDescent="0.3">
      <c r="B273" s="26" t="s">
        <v>9</v>
      </c>
      <c r="C273" s="27" t="s">
        <v>1</v>
      </c>
      <c r="D273" s="27">
        <v>50</v>
      </c>
      <c r="E273" s="27"/>
      <c r="F273" s="27" t="s">
        <v>185</v>
      </c>
      <c r="G273" s="30">
        <v>2.8570000000000002</v>
      </c>
      <c r="H273" s="28" t="s">
        <v>60</v>
      </c>
      <c r="I273" s="38">
        <v>108000</v>
      </c>
      <c r="J273" s="29" t="s">
        <v>56</v>
      </c>
      <c r="K273" s="12"/>
      <c r="L273" s="10"/>
    </row>
    <row r="274" spans="2:21" s="3" customFormat="1" ht="19.5" customHeight="1" x14ac:dyDescent="0.3">
      <c r="B274" s="26" t="s">
        <v>9</v>
      </c>
      <c r="C274" s="27" t="s">
        <v>1</v>
      </c>
      <c r="D274" s="27">
        <v>56</v>
      </c>
      <c r="E274" s="27"/>
      <c r="F274" s="27" t="s">
        <v>186</v>
      </c>
      <c r="G274" s="30">
        <v>3.7810000000000001</v>
      </c>
      <c r="H274" s="28" t="s">
        <v>60</v>
      </c>
      <c r="I274" s="38">
        <v>108000</v>
      </c>
      <c r="J274" s="29" t="s">
        <v>56</v>
      </c>
      <c r="K274" s="12"/>
      <c r="L274" s="10"/>
    </row>
    <row r="275" spans="2:21" s="3" customFormat="1" ht="19.5" customHeight="1" x14ac:dyDescent="0.3">
      <c r="B275" s="26" t="s">
        <v>9</v>
      </c>
      <c r="C275" s="27" t="s">
        <v>1</v>
      </c>
      <c r="D275" s="27">
        <v>60</v>
      </c>
      <c r="E275" s="27"/>
      <c r="F275" s="27" t="s">
        <v>98</v>
      </c>
      <c r="G275" s="30">
        <v>3.63</v>
      </c>
      <c r="H275" s="28" t="s">
        <v>60</v>
      </c>
      <c r="I275" s="38">
        <v>108000</v>
      </c>
      <c r="J275" s="29" t="s">
        <v>56</v>
      </c>
      <c r="K275" s="12"/>
      <c r="L275" s="10"/>
    </row>
    <row r="276" spans="2:21" s="3" customFormat="1" ht="19.5" customHeight="1" x14ac:dyDescent="0.3">
      <c r="B276" s="26" t="s">
        <v>9</v>
      </c>
      <c r="C276" s="27" t="s">
        <v>1</v>
      </c>
      <c r="D276" s="27">
        <v>70</v>
      </c>
      <c r="E276" s="27"/>
      <c r="F276" s="27" t="s">
        <v>147</v>
      </c>
      <c r="G276" s="30">
        <v>0.97299999999999998</v>
      </c>
      <c r="H276" s="28" t="s">
        <v>60</v>
      </c>
      <c r="I276" s="38">
        <v>108000</v>
      </c>
      <c r="J276" s="29" t="s">
        <v>56</v>
      </c>
      <c r="K276" s="54"/>
      <c r="L276" s="10"/>
    </row>
    <row r="277" spans="2:21" s="3" customFormat="1" ht="19.5" customHeight="1" x14ac:dyDescent="0.3">
      <c r="B277" s="26" t="s">
        <v>9</v>
      </c>
      <c r="C277" s="27" t="s">
        <v>1</v>
      </c>
      <c r="D277" s="27">
        <v>75</v>
      </c>
      <c r="E277" s="27"/>
      <c r="F277" s="27" t="s">
        <v>149</v>
      </c>
      <c r="G277" s="30">
        <v>26.661999999999999</v>
      </c>
      <c r="H277" s="28" t="s">
        <v>62</v>
      </c>
      <c r="I277" s="38">
        <v>106000</v>
      </c>
      <c r="J277" s="29" t="s">
        <v>56</v>
      </c>
      <c r="K277" s="12"/>
      <c r="L277" s="10"/>
    </row>
    <row r="278" spans="2:21" s="3" customFormat="1" ht="19.5" customHeight="1" x14ac:dyDescent="0.3">
      <c r="B278" s="26" t="s">
        <v>9</v>
      </c>
      <c r="C278" s="27" t="s">
        <v>1</v>
      </c>
      <c r="D278" s="27">
        <v>80</v>
      </c>
      <c r="E278" s="27"/>
      <c r="F278" s="27" t="s">
        <v>147</v>
      </c>
      <c r="G278" s="30">
        <v>2.181</v>
      </c>
      <c r="H278" s="28" t="s">
        <v>60</v>
      </c>
      <c r="I278" s="38">
        <v>108000</v>
      </c>
      <c r="J278" s="29" t="s">
        <v>56</v>
      </c>
      <c r="K278" s="12" t="s">
        <v>6</v>
      </c>
      <c r="L278" s="10"/>
    </row>
    <row r="279" spans="2:21" s="3" customFormat="1" ht="19.5" customHeight="1" x14ac:dyDescent="0.3">
      <c r="B279" s="26" t="s">
        <v>9</v>
      </c>
      <c r="C279" s="27" t="s">
        <v>1</v>
      </c>
      <c r="D279" s="27">
        <v>90</v>
      </c>
      <c r="E279" s="27"/>
      <c r="F279" s="27" t="s">
        <v>224</v>
      </c>
      <c r="G279" s="30">
        <v>4.0170000000000003</v>
      </c>
      <c r="H279" s="28" t="s">
        <v>60</v>
      </c>
      <c r="I279" s="38">
        <v>108000</v>
      </c>
      <c r="J279" s="29" t="s">
        <v>56</v>
      </c>
      <c r="K279" s="12"/>
      <c r="L279" s="10"/>
    </row>
    <row r="280" spans="2:21" s="3" customFormat="1" ht="20.25" customHeight="1" x14ac:dyDescent="0.3">
      <c r="B280" s="26" t="s">
        <v>9</v>
      </c>
      <c r="C280" s="27" t="s">
        <v>1</v>
      </c>
      <c r="D280" s="27">
        <v>100</v>
      </c>
      <c r="E280" s="27"/>
      <c r="F280" s="27" t="s">
        <v>224</v>
      </c>
      <c r="G280" s="30">
        <v>0.81699999999999995</v>
      </c>
      <c r="H280" s="28" t="s">
        <v>60</v>
      </c>
      <c r="I280" s="38">
        <v>108000</v>
      </c>
      <c r="J280" s="29" t="s">
        <v>56</v>
      </c>
      <c r="K280" s="12"/>
      <c r="L280" s="10"/>
    </row>
    <row r="281" spans="2:21" s="3" customFormat="1" ht="19.5" customHeight="1" x14ac:dyDescent="0.3">
      <c r="B281" s="26" t="s">
        <v>9</v>
      </c>
      <c r="C281" s="27" t="s">
        <v>1</v>
      </c>
      <c r="D281" s="27">
        <v>120</v>
      </c>
      <c r="E281" s="27"/>
      <c r="F281" s="27" t="s">
        <v>167</v>
      </c>
      <c r="G281" s="30">
        <v>2.7029999999999998</v>
      </c>
      <c r="H281" s="28" t="s">
        <v>58</v>
      </c>
      <c r="I281" s="38">
        <v>108000</v>
      </c>
      <c r="J281" s="29" t="s">
        <v>56</v>
      </c>
      <c r="K281" s="12"/>
      <c r="L281" s="10"/>
    </row>
    <row r="282" spans="2:21" s="78" customFormat="1" ht="19.5" customHeight="1" x14ac:dyDescent="0.3">
      <c r="B282" s="66" t="s">
        <v>9</v>
      </c>
      <c r="C282" s="67" t="s">
        <v>1</v>
      </c>
      <c r="D282" s="67">
        <v>130</v>
      </c>
      <c r="E282" s="67"/>
      <c r="F282" s="67" t="s">
        <v>256</v>
      </c>
      <c r="G282" s="81">
        <v>0.23</v>
      </c>
      <c r="H282" s="76" t="s">
        <v>211</v>
      </c>
      <c r="I282" s="70">
        <v>108000</v>
      </c>
      <c r="J282" s="71" t="s">
        <v>56</v>
      </c>
      <c r="K282" s="14"/>
      <c r="L282" s="10"/>
      <c r="M282" s="3"/>
      <c r="N282" s="3"/>
      <c r="O282" s="3"/>
      <c r="P282" s="3"/>
      <c r="Q282" s="3"/>
      <c r="R282" s="3"/>
      <c r="S282" s="3"/>
      <c r="T282" s="3"/>
      <c r="U282" s="3"/>
    </row>
    <row r="283" spans="2:21" s="3" customFormat="1" ht="19.5" customHeight="1" x14ac:dyDescent="0.3">
      <c r="B283" s="26" t="s">
        <v>9</v>
      </c>
      <c r="C283" s="27" t="s">
        <v>1</v>
      </c>
      <c r="D283" s="27">
        <v>150</v>
      </c>
      <c r="E283" s="27"/>
      <c r="F283" s="27"/>
      <c r="G283" s="30">
        <v>0.65500000000000003</v>
      </c>
      <c r="H283" s="28" t="s">
        <v>62</v>
      </c>
      <c r="I283" s="38">
        <v>108000</v>
      </c>
      <c r="J283" s="29" t="s">
        <v>56</v>
      </c>
      <c r="K283" s="12"/>
      <c r="L283" s="10"/>
    </row>
    <row r="284" spans="2:21" s="3" customFormat="1" ht="19.5" customHeight="1" x14ac:dyDescent="0.3">
      <c r="B284" s="26" t="s">
        <v>9</v>
      </c>
      <c r="C284" s="27" t="s">
        <v>1</v>
      </c>
      <c r="D284" s="27">
        <v>160</v>
      </c>
      <c r="E284" s="27"/>
      <c r="F284" s="27" t="s">
        <v>151</v>
      </c>
      <c r="G284" s="30">
        <v>1.4830000000000001</v>
      </c>
      <c r="H284" s="28" t="s">
        <v>62</v>
      </c>
      <c r="I284" s="38">
        <v>108000</v>
      </c>
      <c r="J284" s="29" t="s">
        <v>56</v>
      </c>
      <c r="K284" s="12"/>
      <c r="L284" s="10"/>
    </row>
    <row r="285" spans="2:21" s="3" customFormat="1" ht="19.5" customHeight="1" x14ac:dyDescent="0.3">
      <c r="B285" s="26" t="s">
        <v>9</v>
      </c>
      <c r="C285" s="27" t="s">
        <v>1</v>
      </c>
      <c r="D285" s="27">
        <v>170</v>
      </c>
      <c r="E285" s="27"/>
      <c r="F285" s="27" t="s">
        <v>167</v>
      </c>
      <c r="G285" s="30">
        <v>0.49399999999999999</v>
      </c>
      <c r="H285" s="28" t="s">
        <v>58</v>
      </c>
      <c r="I285" s="38">
        <v>108000</v>
      </c>
      <c r="J285" s="29" t="s">
        <v>56</v>
      </c>
      <c r="K285" s="12"/>
      <c r="L285" s="10"/>
    </row>
    <row r="286" spans="2:21" s="78" customFormat="1" ht="19.5" customHeight="1" x14ac:dyDescent="0.3">
      <c r="B286" s="66" t="s">
        <v>9</v>
      </c>
      <c r="C286" s="67" t="s">
        <v>1</v>
      </c>
      <c r="D286" s="67">
        <v>180</v>
      </c>
      <c r="E286" s="67"/>
      <c r="F286" s="67" t="s">
        <v>256</v>
      </c>
      <c r="G286" s="81">
        <v>5.3079999999999998</v>
      </c>
      <c r="H286" s="76" t="s">
        <v>211</v>
      </c>
      <c r="I286" s="70">
        <v>108000</v>
      </c>
      <c r="J286" s="71" t="s">
        <v>56</v>
      </c>
      <c r="K286" s="14"/>
      <c r="L286" s="10"/>
      <c r="M286" s="3"/>
      <c r="N286" s="3"/>
      <c r="O286" s="3"/>
      <c r="P286" s="3"/>
      <c r="Q286" s="3"/>
      <c r="R286" s="3"/>
      <c r="S286" s="3"/>
      <c r="T286" s="3"/>
      <c r="U286" s="3"/>
    </row>
    <row r="287" spans="2:21" s="3" customFormat="1" ht="19.5" customHeight="1" x14ac:dyDescent="0.3">
      <c r="B287" s="26" t="s">
        <v>9</v>
      </c>
      <c r="C287" s="27" t="s">
        <v>1</v>
      </c>
      <c r="D287" s="27">
        <v>190</v>
      </c>
      <c r="E287" s="27"/>
      <c r="F287" s="27"/>
      <c r="G287" s="30">
        <v>1.4530000000000001</v>
      </c>
      <c r="H287" s="28" t="s">
        <v>58</v>
      </c>
      <c r="I287" s="38">
        <v>118000</v>
      </c>
      <c r="J287" s="29" t="s">
        <v>56</v>
      </c>
      <c r="K287" s="12"/>
      <c r="L287" s="10"/>
    </row>
    <row r="288" spans="2:21" s="3" customFormat="1" ht="19.5" customHeight="1" x14ac:dyDescent="0.3">
      <c r="B288" s="26" t="s">
        <v>30</v>
      </c>
      <c r="C288" s="27" t="s">
        <v>65</v>
      </c>
      <c r="D288" s="27">
        <v>200</v>
      </c>
      <c r="E288" s="27"/>
      <c r="F288" s="27"/>
      <c r="G288" s="30">
        <v>5.68</v>
      </c>
      <c r="H288" s="28" t="s">
        <v>211</v>
      </c>
      <c r="I288" s="38">
        <v>150000</v>
      </c>
      <c r="J288" s="29" t="s">
        <v>56</v>
      </c>
      <c r="K288" s="12"/>
      <c r="L288" s="10"/>
    </row>
    <row r="289" spans="2:12" s="3" customFormat="1" ht="19.5" customHeight="1" x14ac:dyDescent="0.3">
      <c r="B289" s="26" t="s">
        <v>9</v>
      </c>
      <c r="C289" s="27" t="s">
        <v>1</v>
      </c>
      <c r="D289" s="27">
        <v>210</v>
      </c>
      <c r="E289" s="27"/>
      <c r="F289" s="27"/>
      <c r="G289" s="30">
        <v>2.1680000000000001</v>
      </c>
      <c r="H289" s="28" t="s">
        <v>83</v>
      </c>
      <c r="I289" s="38">
        <v>120000</v>
      </c>
      <c r="J289" s="29" t="s">
        <v>56</v>
      </c>
      <c r="K289" s="12"/>
      <c r="L289" s="10"/>
    </row>
    <row r="290" spans="2:12" s="3" customFormat="1" ht="19.5" customHeight="1" x14ac:dyDescent="0.3">
      <c r="B290" s="26" t="s">
        <v>9</v>
      </c>
      <c r="C290" s="27" t="s">
        <v>1</v>
      </c>
      <c r="D290" s="27">
        <v>220</v>
      </c>
      <c r="E290" s="27"/>
      <c r="F290" s="27"/>
      <c r="G290" s="30">
        <v>1.0660000000000001</v>
      </c>
      <c r="H290" s="28" t="s">
        <v>62</v>
      </c>
      <c r="I290" s="38">
        <v>120000</v>
      </c>
      <c r="J290" s="29" t="s">
        <v>56</v>
      </c>
      <c r="K290" s="12"/>
      <c r="L290" s="10"/>
    </row>
    <row r="291" spans="2:12" s="3" customFormat="1" ht="19.5" customHeight="1" x14ac:dyDescent="0.3">
      <c r="B291" s="26" t="s">
        <v>9</v>
      </c>
      <c r="C291" s="27" t="s">
        <v>1</v>
      </c>
      <c r="D291" s="27">
        <v>230</v>
      </c>
      <c r="E291" s="27"/>
      <c r="F291" s="27"/>
      <c r="G291" s="30">
        <v>2.641</v>
      </c>
      <c r="H291" s="28" t="s">
        <v>62</v>
      </c>
      <c r="I291" s="38">
        <v>120000</v>
      </c>
      <c r="J291" s="29" t="s">
        <v>56</v>
      </c>
      <c r="K291" s="12"/>
      <c r="L291" s="10"/>
    </row>
    <row r="292" spans="2:12" s="3" customFormat="1" ht="19.5" customHeight="1" x14ac:dyDescent="0.3">
      <c r="B292" s="26" t="s">
        <v>9</v>
      </c>
      <c r="C292" s="27" t="s">
        <v>1</v>
      </c>
      <c r="D292" s="27">
        <v>240</v>
      </c>
      <c r="E292" s="27"/>
      <c r="F292" s="27" t="s">
        <v>165</v>
      </c>
      <c r="G292" s="30">
        <v>10.587999999999999</v>
      </c>
      <c r="H292" s="28" t="s">
        <v>58</v>
      </c>
      <c r="I292" s="38">
        <v>115000</v>
      </c>
      <c r="J292" s="29" t="s">
        <v>56</v>
      </c>
      <c r="K292" s="12"/>
      <c r="L292" s="10"/>
    </row>
    <row r="293" spans="2:12" s="3" customFormat="1" ht="19.5" customHeight="1" x14ac:dyDescent="0.3">
      <c r="B293" s="26" t="s">
        <v>9</v>
      </c>
      <c r="C293" s="27" t="s">
        <v>1</v>
      </c>
      <c r="D293" s="27">
        <v>250</v>
      </c>
      <c r="E293" s="27"/>
      <c r="F293" s="27" t="s">
        <v>165</v>
      </c>
      <c r="G293" s="30">
        <v>7.2910000000000004</v>
      </c>
      <c r="H293" s="28" t="s">
        <v>58</v>
      </c>
      <c r="I293" s="38">
        <v>120000</v>
      </c>
      <c r="J293" s="29" t="s">
        <v>56</v>
      </c>
      <c r="K293" s="12"/>
      <c r="L293" s="10"/>
    </row>
    <row r="294" spans="2:12" s="3" customFormat="1" ht="19.5" customHeight="1" x14ac:dyDescent="0.3">
      <c r="B294" s="26" t="s">
        <v>9</v>
      </c>
      <c r="C294" s="27" t="s">
        <v>1</v>
      </c>
      <c r="D294" s="27">
        <v>280</v>
      </c>
      <c r="E294" s="27"/>
      <c r="F294" s="27"/>
      <c r="G294" s="30">
        <v>0.59499999999999997</v>
      </c>
      <c r="H294" s="28" t="s">
        <v>62</v>
      </c>
      <c r="I294" s="38">
        <v>170000</v>
      </c>
      <c r="J294" s="29" t="s">
        <v>56</v>
      </c>
      <c r="K294" s="12"/>
      <c r="L294" s="10"/>
    </row>
    <row r="295" spans="2:12" s="3" customFormat="1" ht="19.5" customHeight="1" x14ac:dyDescent="0.3">
      <c r="B295" s="26" t="s">
        <v>9</v>
      </c>
      <c r="C295" s="27" t="s">
        <v>1</v>
      </c>
      <c r="D295" s="27">
        <v>290</v>
      </c>
      <c r="E295" s="27"/>
      <c r="F295" s="24" t="s">
        <v>101</v>
      </c>
      <c r="G295" s="30">
        <v>12.848000000000001</v>
      </c>
      <c r="H295" s="28" t="s">
        <v>62</v>
      </c>
      <c r="I295" s="38">
        <v>170000</v>
      </c>
      <c r="J295" s="29" t="s">
        <v>56</v>
      </c>
      <c r="K295" s="12"/>
      <c r="L295" s="10"/>
    </row>
    <row r="296" spans="2:12" s="3" customFormat="1" ht="19.5" customHeight="1" x14ac:dyDescent="0.3">
      <c r="B296" s="26" t="s">
        <v>9</v>
      </c>
      <c r="C296" s="27" t="s">
        <v>1</v>
      </c>
      <c r="D296" s="24">
        <v>300</v>
      </c>
      <c r="E296" s="24"/>
      <c r="F296" s="24"/>
      <c r="G296" s="30">
        <v>2.0609999999999999</v>
      </c>
      <c r="H296" s="28" t="s">
        <v>62</v>
      </c>
      <c r="I296" s="38">
        <v>220000</v>
      </c>
      <c r="J296" s="29" t="s">
        <v>56</v>
      </c>
      <c r="K296" s="12"/>
      <c r="L296" s="10"/>
    </row>
    <row r="297" spans="2:12" s="3" customFormat="1" ht="19.5" customHeight="1" x14ac:dyDescent="0.3">
      <c r="B297" s="26" t="s">
        <v>9</v>
      </c>
      <c r="C297" s="27" t="s">
        <v>1</v>
      </c>
      <c r="D297" s="24">
        <v>350</v>
      </c>
      <c r="E297" s="24"/>
      <c r="F297" s="24"/>
      <c r="G297" s="30">
        <v>1.127</v>
      </c>
      <c r="H297" s="28" t="s">
        <v>62</v>
      </c>
      <c r="I297" s="38">
        <v>230000</v>
      </c>
      <c r="J297" s="29" t="s">
        <v>56</v>
      </c>
      <c r="K297" s="12"/>
      <c r="L297" s="10"/>
    </row>
    <row r="298" spans="2:12" s="3" customFormat="1" ht="19.5" customHeight="1" x14ac:dyDescent="0.3">
      <c r="B298" s="26" t="s">
        <v>30</v>
      </c>
      <c r="C298" s="27" t="s">
        <v>1</v>
      </c>
      <c r="D298" s="24">
        <v>415</v>
      </c>
      <c r="E298" s="24"/>
      <c r="F298" s="24" t="s">
        <v>102</v>
      </c>
      <c r="G298" s="30">
        <v>0.23</v>
      </c>
      <c r="H298" s="28" t="s">
        <v>211</v>
      </c>
      <c r="I298" s="38">
        <v>230000</v>
      </c>
      <c r="J298" s="29" t="s">
        <v>56</v>
      </c>
      <c r="K298" s="12"/>
      <c r="L298" s="10"/>
    </row>
    <row r="299" spans="2:12" s="3" customFormat="1" ht="19.5" customHeight="1" x14ac:dyDescent="0.3">
      <c r="B299" s="26" t="s">
        <v>9</v>
      </c>
      <c r="C299" s="27" t="s">
        <v>12</v>
      </c>
      <c r="D299" s="27">
        <v>80</v>
      </c>
      <c r="E299" s="27"/>
      <c r="F299" s="27"/>
      <c r="G299" s="30">
        <v>0.14000000000000001</v>
      </c>
      <c r="H299" s="32" t="s">
        <v>34</v>
      </c>
      <c r="I299" s="38">
        <v>80000</v>
      </c>
      <c r="J299" s="29" t="s">
        <v>56</v>
      </c>
      <c r="K299" s="12"/>
      <c r="L299" s="10"/>
    </row>
    <row r="300" spans="2:12" s="3" customFormat="1" ht="19.5" customHeight="1" x14ac:dyDescent="0.3">
      <c r="B300" s="26" t="s">
        <v>9</v>
      </c>
      <c r="C300" s="27" t="s">
        <v>2</v>
      </c>
      <c r="D300" s="27">
        <v>20</v>
      </c>
      <c r="E300" s="27"/>
      <c r="F300" s="27" t="s">
        <v>127</v>
      </c>
      <c r="G300" s="30">
        <v>1.3879999999999999</v>
      </c>
      <c r="H300" s="32" t="s">
        <v>60</v>
      </c>
      <c r="I300" s="39">
        <v>240000</v>
      </c>
      <c r="J300" s="29" t="s">
        <v>56</v>
      </c>
      <c r="K300" s="54"/>
      <c r="L300" s="10"/>
    </row>
    <row r="301" spans="2:12" s="3" customFormat="1" ht="19.5" customHeight="1" x14ac:dyDescent="0.3">
      <c r="B301" s="26" t="s">
        <v>9</v>
      </c>
      <c r="C301" s="27" t="s">
        <v>2</v>
      </c>
      <c r="D301" s="27">
        <v>22</v>
      </c>
      <c r="E301" s="27"/>
      <c r="F301" s="27" t="s">
        <v>128</v>
      </c>
      <c r="G301" s="30">
        <v>0.51700000000000002</v>
      </c>
      <c r="H301" s="32" t="s">
        <v>60</v>
      </c>
      <c r="I301" s="39">
        <v>240000</v>
      </c>
      <c r="J301" s="29" t="s">
        <v>56</v>
      </c>
      <c r="K301" s="54"/>
      <c r="L301" s="10"/>
    </row>
    <row r="302" spans="2:12" s="3" customFormat="1" ht="19.5" customHeight="1" x14ac:dyDescent="0.3">
      <c r="B302" s="26" t="s">
        <v>9</v>
      </c>
      <c r="C302" s="27" t="s">
        <v>2</v>
      </c>
      <c r="D302" s="27">
        <v>25</v>
      </c>
      <c r="E302" s="27"/>
      <c r="F302" s="27" t="s">
        <v>127</v>
      </c>
      <c r="G302" s="30">
        <v>3.7970000000000002</v>
      </c>
      <c r="H302" s="32" t="s">
        <v>60</v>
      </c>
      <c r="I302" s="39">
        <v>230000</v>
      </c>
      <c r="J302" s="29" t="s">
        <v>56</v>
      </c>
      <c r="K302" s="54"/>
      <c r="L302" s="10"/>
    </row>
    <row r="303" spans="2:12" s="3" customFormat="1" ht="19.5" customHeight="1" x14ac:dyDescent="0.3">
      <c r="B303" s="26" t="s">
        <v>9</v>
      </c>
      <c r="C303" s="27" t="s">
        <v>2</v>
      </c>
      <c r="D303" s="27">
        <v>30</v>
      </c>
      <c r="E303" s="27"/>
      <c r="F303" s="27"/>
      <c r="G303" s="30">
        <v>6.2E-2</v>
      </c>
      <c r="H303" s="32" t="s">
        <v>289</v>
      </c>
      <c r="I303" s="39">
        <v>220000</v>
      </c>
      <c r="J303" s="29" t="s">
        <v>56</v>
      </c>
      <c r="K303" s="54"/>
      <c r="L303" s="10"/>
    </row>
    <row r="304" spans="2:12" s="3" customFormat="1" ht="19.5" customHeight="1" x14ac:dyDescent="0.3">
      <c r="B304" s="66" t="s">
        <v>9</v>
      </c>
      <c r="C304" s="67" t="s">
        <v>2</v>
      </c>
      <c r="D304" s="67">
        <v>30</v>
      </c>
      <c r="E304" s="67"/>
      <c r="F304" s="67" t="s">
        <v>198</v>
      </c>
      <c r="G304" s="81">
        <v>3</v>
      </c>
      <c r="H304" s="79" t="s">
        <v>58</v>
      </c>
      <c r="I304" s="75">
        <v>220000</v>
      </c>
      <c r="J304" s="71" t="s">
        <v>392</v>
      </c>
      <c r="K304" s="54"/>
      <c r="L304" s="10"/>
    </row>
    <row r="305" spans="2:21" s="3" customFormat="1" ht="19.5" customHeight="1" x14ac:dyDescent="0.3">
      <c r="B305" s="26" t="s">
        <v>9</v>
      </c>
      <c r="C305" s="27" t="s">
        <v>2</v>
      </c>
      <c r="D305" s="27">
        <v>32</v>
      </c>
      <c r="E305" s="27"/>
      <c r="F305" s="27" t="s">
        <v>198</v>
      </c>
      <c r="G305" s="30">
        <v>2.16</v>
      </c>
      <c r="H305" s="33" t="s">
        <v>60</v>
      </c>
      <c r="I305" s="39">
        <v>220000</v>
      </c>
      <c r="J305" s="29" t="s">
        <v>56</v>
      </c>
      <c r="K305" s="54"/>
      <c r="L305" s="10"/>
    </row>
    <row r="306" spans="2:21" s="3" customFormat="1" ht="19.5" customHeight="1" x14ac:dyDescent="0.3">
      <c r="B306" s="26" t="s">
        <v>9</v>
      </c>
      <c r="C306" s="27" t="s">
        <v>2</v>
      </c>
      <c r="D306" s="27">
        <v>34</v>
      </c>
      <c r="E306" s="27"/>
      <c r="F306" s="27" t="s">
        <v>198</v>
      </c>
      <c r="G306" s="30">
        <v>3.71</v>
      </c>
      <c r="H306" s="33" t="s">
        <v>60</v>
      </c>
      <c r="I306" s="39">
        <v>220000</v>
      </c>
      <c r="J306" s="29" t="s">
        <v>56</v>
      </c>
      <c r="K306" s="58"/>
      <c r="L306" s="10"/>
    </row>
    <row r="307" spans="2:21" s="3" customFormat="1" ht="19.5" customHeight="1" x14ac:dyDescent="0.3">
      <c r="B307" s="66" t="s">
        <v>9</v>
      </c>
      <c r="C307" s="67" t="s">
        <v>2</v>
      </c>
      <c r="D307" s="67">
        <v>36</v>
      </c>
      <c r="E307" s="67"/>
      <c r="F307" s="67"/>
      <c r="G307" s="81">
        <v>4.8600000000000003</v>
      </c>
      <c r="H307" s="69" t="s">
        <v>60</v>
      </c>
      <c r="I307" s="75">
        <v>220000</v>
      </c>
      <c r="J307" s="71" t="s">
        <v>391</v>
      </c>
      <c r="K307" s="58"/>
      <c r="L307" s="10"/>
    </row>
    <row r="308" spans="2:21" s="3" customFormat="1" ht="19.5" customHeight="1" x14ac:dyDescent="0.3">
      <c r="B308" s="66" t="s">
        <v>9</v>
      </c>
      <c r="C308" s="67" t="s">
        <v>2</v>
      </c>
      <c r="D308" s="67">
        <v>40</v>
      </c>
      <c r="E308" s="67"/>
      <c r="F308" s="67" t="s">
        <v>198</v>
      </c>
      <c r="G308" s="81">
        <v>3</v>
      </c>
      <c r="H308" s="79" t="s">
        <v>58</v>
      </c>
      <c r="I308" s="75">
        <v>220000</v>
      </c>
      <c r="J308" s="71" t="s">
        <v>392</v>
      </c>
      <c r="K308" s="58"/>
      <c r="L308" s="10"/>
    </row>
    <row r="309" spans="2:21" s="78" customFormat="1" ht="19.5" customHeight="1" x14ac:dyDescent="0.3">
      <c r="B309" s="66" t="s">
        <v>9</v>
      </c>
      <c r="C309" s="67" t="s">
        <v>2</v>
      </c>
      <c r="D309" s="67">
        <v>40</v>
      </c>
      <c r="E309" s="67"/>
      <c r="F309" s="67" t="s">
        <v>291</v>
      </c>
      <c r="G309" s="81">
        <v>7.1310000000000002</v>
      </c>
      <c r="H309" s="69" t="s">
        <v>60</v>
      </c>
      <c r="I309" s="75">
        <v>220000</v>
      </c>
      <c r="J309" s="71" t="s">
        <v>56</v>
      </c>
      <c r="K309" s="56"/>
      <c r="L309" s="10"/>
      <c r="M309" s="3"/>
      <c r="N309" s="3"/>
      <c r="O309" s="3"/>
      <c r="P309" s="3"/>
      <c r="Q309" s="3"/>
      <c r="R309" s="3"/>
      <c r="S309" s="3"/>
      <c r="T309" s="3"/>
      <c r="U309" s="3"/>
    </row>
    <row r="310" spans="2:21" s="78" customFormat="1" ht="19.5" customHeight="1" x14ac:dyDescent="0.3">
      <c r="B310" s="66" t="s">
        <v>9</v>
      </c>
      <c r="C310" s="67" t="s">
        <v>2</v>
      </c>
      <c r="D310" s="67">
        <v>45</v>
      </c>
      <c r="E310" s="67"/>
      <c r="F310" s="67" t="s">
        <v>291</v>
      </c>
      <c r="G310" s="81">
        <v>2.593</v>
      </c>
      <c r="H310" s="69" t="s">
        <v>60</v>
      </c>
      <c r="I310" s="75">
        <v>220000</v>
      </c>
      <c r="J310" s="71" t="s">
        <v>56</v>
      </c>
      <c r="K310" s="56"/>
      <c r="L310" s="10"/>
      <c r="M310" s="3"/>
      <c r="N310" s="3"/>
      <c r="O310" s="3"/>
      <c r="P310" s="3"/>
      <c r="Q310" s="3"/>
      <c r="R310" s="3"/>
      <c r="S310" s="3"/>
      <c r="T310" s="3"/>
      <c r="U310" s="3"/>
    </row>
    <row r="311" spans="2:21" s="78" customFormat="1" ht="19.5" customHeight="1" x14ac:dyDescent="0.3">
      <c r="B311" s="66" t="s">
        <v>9</v>
      </c>
      <c r="C311" s="67" t="s">
        <v>2</v>
      </c>
      <c r="D311" s="67">
        <v>50</v>
      </c>
      <c r="E311" s="67"/>
      <c r="F311" s="67" t="s">
        <v>393</v>
      </c>
      <c r="G311" s="81">
        <v>3</v>
      </c>
      <c r="H311" s="79" t="s">
        <v>58</v>
      </c>
      <c r="I311" s="75">
        <v>220000</v>
      </c>
      <c r="J311" s="71" t="s">
        <v>392</v>
      </c>
      <c r="K311" s="56"/>
      <c r="L311" s="10"/>
      <c r="M311" s="3"/>
      <c r="N311" s="3"/>
      <c r="O311" s="3"/>
      <c r="P311" s="3"/>
      <c r="Q311" s="3"/>
      <c r="R311" s="3"/>
      <c r="S311" s="3"/>
      <c r="T311" s="3"/>
      <c r="U311" s="3"/>
    </row>
    <row r="312" spans="2:21" s="78" customFormat="1" ht="19.5" customHeight="1" x14ac:dyDescent="0.3">
      <c r="B312" s="66" t="s">
        <v>9</v>
      </c>
      <c r="C312" s="67" t="s">
        <v>2</v>
      </c>
      <c r="D312" s="67">
        <v>50</v>
      </c>
      <c r="E312" s="67"/>
      <c r="F312" s="67" t="s">
        <v>291</v>
      </c>
      <c r="G312" s="81">
        <v>4.05</v>
      </c>
      <c r="H312" s="69" t="s">
        <v>60</v>
      </c>
      <c r="I312" s="75">
        <v>220000</v>
      </c>
      <c r="J312" s="71" t="s">
        <v>56</v>
      </c>
      <c r="K312" s="56"/>
      <c r="L312" s="10"/>
      <c r="M312" s="3"/>
      <c r="N312" s="3"/>
      <c r="O312" s="3"/>
      <c r="P312" s="3"/>
      <c r="Q312" s="3"/>
      <c r="R312" s="3"/>
      <c r="S312" s="3"/>
      <c r="T312" s="3"/>
      <c r="U312" s="3"/>
    </row>
    <row r="313" spans="2:21" s="3" customFormat="1" ht="19.5" customHeight="1" x14ac:dyDescent="0.3">
      <c r="B313" s="26" t="s">
        <v>9</v>
      </c>
      <c r="C313" s="27" t="s">
        <v>2</v>
      </c>
      <c r="D313" s="27">
        <v>56</v>
      </c>
      <c r="E313" s="27"/>
      <c r="F313" s="27" t="s">
        <v>290</v>
      </c>
      <c r="G313" s="30">
        <v>0.55400000000000005</v>
      </c>
      <c r="H313" s="33" t="s">
        <v>289</v>
      </c>
      <c r="I313" s="39">
        <v>215000</v>
      </c>
      <c r="J313" s="29" t="s">
        <v>56</v>
      </c>
      <c r="K313" s="54"/>
      <c r="L313" s="10"/>
      <c r="M313" s="3" t="s">
        <v>6</v>
      </c>
    </row>
    <row r="314" spans="2:21" s="3" customFormat="1" ht="19.5" customHeight="1" x14ac:dyDescent="0.3">
      <c r="B314" s="26" t="s">
        <v>9</v>
      </c>
      <c r="C314" s="27" t="s">
        <v>2</v>
      </c>
      <c r="D314" s="27">
        <v>60</v>
      </c>
      <c r="E314" s="27"/>
      <c r="F314" s="27" t="s">
        <v>334</v>
      </c>
      <c r="G314" s="30">
        <v>0.129</v>
      </c>
      <c r="H314" s="33" t="s">
        <v>199</v>
      </c>
      <c r="I314" s="39">
        <v>250000</v>
      </c>
      <c r="J314" s="29" t="s">
        <v>56</v>
      </c>
      <c r="K314" s="59"/>
      <c r="L314" s="10"/>
    </row>
    <row r="315" spans="2:21" s="3" customFormat="1" ht="19.5" customHeight="1" x14ac:dyDescent="0.3">
      <c r="B315" s="66" t="s">
        <v>9</v>
      </c>
      <c r="C315" s="67" t="s">
        <v>2</v>
      </c>
      <c r="D315" s="67">
        <v>60</v>
      </c>
      <c r="E315" s="67"/>
      <c r="F315" s="67" t="s">
        <v>393</v>
      </c>
      <c r="G315" s="81">
        <v>3</v>
      </c>
      <c r="H315" s="79" t="s">
        <v>58</v>
      </c>
      <c r="I315" s="75">
        <v>250000</v>
      </c>
      <c r="J315" s="71" t="s">
        <v>392</v>
      </c>
      <c r="K315" s="59"/>
      <c r="L315" s="10"/>
    </row>
    <row r="316" spans="2:21" s="3" customFormat="1" ht="19.5" customHeight="1" x14ac:dyDescent="0.3">
      <c r="B316" s="66" t="s">
        <v>9</v>
      </c>
      <c r="C316" s="67" t="s">
        <v>2</v>
      </c>
      <c r="D316" s="67">
        <v>60</v>
      </c>
      <c r="E316" s="67"/>
      <c r="F316" s="67" t="s">
        <v>291</v>
      </c>
      <c r="G316" s="81">
        <v>1.6539999999999999</v>
      </c>
      <c r="H316" s="69" t="s">
        <v>60</v>
      </c>
      <c r="I316" s="75">
        <v>250000</v>
      </c>
      <c r="J316" s="71" t="s">
        <v>56</v>
      </c>
      <c r="K316" s="59"/>
      <c r="L316" s="10"/>
    </row>
    <row r="317" spans="2:21" s="3" customFormat="1" ht="19.5" customHeight="1" x14ac:dyDescent="0.3">
      <c r="B317" s="66" t="s">
        <v>9</v>
      </c>
      <c r="C317" s="67" t="s">
        <v>2</v>
      </c>
      <c r="D317" s="67">
        <v>70</v>
      </c>
      <c r="E317" s="67"/>
      <c r="F317" s="67" t="s">
        <v>394</v>
      </c>
      <c r="G317" s="81">
        <v>6</v>
      </c>
      <c r="H317" s="69" t="s">
        <v>58</v>
      </c>
      <c r="I317" s="75">
        <v>250000</v>
      </c>
      <c r="J317" s="71" t="s">
        <v>392</v>
      </c>
      <c r="K317" s="59"/>
      <c r="L317" s="10"/>
    </row>
    <row r="318" spans="2:21" s="3" customFormat="1" ht="19.5" customHeight="1" x14ac:dyDescent="0.3">
      <c r="B318" s="66" t="s">
        <v>9</v>
      </c>
      <c r="C318" s="67" t="s">
        <v>2</v>
      </c>
      <c r="D318" s="67">
        <v>70</v>
      </c>
      <c r="E318" s="67"/>
      <c r="F318" s="67" t="s">
        <v>321</v>
      </c>
      <c r="G318" s="81">
        <v>0.161</v>
      </c>
      <c r="H318" s="76" t="s">
        <v>62</v>
      </c>
      <c r="I318" s="75">
        <v>250000</v>
      </c>
      <c r="J318" s="71" t="s">
        <v>56</v>
      </c>
      <c r="K318" s="56"/>
      <c r="L318" s="10"/>
    </row>
    <row r="319" spans="2:21" s="3" customFormat="1" ht="19.5" customHeight="1" x14ac:dyDescent="0.3">
      <c r="B319" s="66" t="s">
        <v>9</v>
      </c>
      <c r="C319" s="67" t="s">
        <v>2</v>
      </c>
      <c r="D319" s="67">
        <v>75</v>
      </c>
      <c r="E319" s="67"/>
      <c r="F319" s="67" t="s">
        <v>321</v>
      </c>
      <c r="G319" s="81">
        <v>5.3650000000000002</v>
      </c>
      <c r="H319" s="76" t="s">
        <v>62</v>
      </c>
      <c r="I319" s="75">
        <v>250000</v>
      </c>
      <c r="J319" s="71" t="s">
        <v>56</v>
      </c>
      <c r="K319" s="56"/>
      <c r="L319" s="10"/>
    </row>
    <row r="320" spans="2:21" s="3" customFormat="1" ht="19.5" customHeight="1" x14ac:dyDescent="0.3">
      <c r="B320" s="26" t="s">
        <v>9</v>
      </c>
      <c r="C320" s="27" t="s">
        <v>2</v>
      </c>
      <c r="D320" s="27">
        <v>75</v>
      </c>
      <c r="E320" s="27"/>
      <c r="F320" s="27" t="s">
        <v>226</v>
      </c>
      <c r="G320" s="30">
        <v>0.78400000000000003</v>
      </c>
      <c r="H320" s="28" t="s">
        <v>62</v>
      </c>
      <c r="I320" s="39">
        <v>240000</v>
      </c>
      <c r="J320" s="29" t="s">
        <v>56</v>
      </c>
      <c r="K320" s="59"/>
      <c r="L320" s="10"/>
    </row>
    <row r="321" spans="2:68" s="3" customFormat="1" ht="19.5" customHeight="1" x14ac:dyDescent="0.3">
      <c r="B321" s="26" t="s">
        <v>9</v>
      </c>
      <c r="C321" s="27" t="s">
        <v>2</v>
      </c>
      <c r="D321" s="27">
        <v>80</v>
      </c>
      <c r="E321" s="27"/>
      <c r="F321" s="27" t="s">
        <v>226</v>
      </c>
      <c r="G321" s="30">
        <v>5.6000000000000001E-2</v>
      </c>
      <c r="H321" s="28" t="s">
        <v>62</v>
      </c>
      <c r="I321" s="39">
        <v>240000</v>
      </c>
      <c r="J321" s="29" t="s">
        <v>56</v>
      </c>
      <c r="K321" s="59"/>
      <c r="L321" s="10"/>
    </row>
    <row r="322" spans="2:68" s="3" customFormat="1" ht="19.5" customHeight="1" x14ac:dyDescent="0.3">
      <c r="B322" s="66" t="s">
        <v>9</v>
      </c>
      <c r="C322" s="67" t="s">
        <v>2</v>
      </c>
      <c r="D322" s="67">
        <v>80</v>
      </c>
      <c r="E322" s="67"/>
      <c r="F322" s="67" t="s">
        <v>337</v>
      </c>
      <c r="G322" s="81">
        <v>5.2709999999999999</v>
      </c>
      <c r="H322" s="76" t="s">
        <v>62</v>
      </c>
      <c r="I322" s="75">
        <v>250000</v>
      </c>
      <c r="J322" s="71" t="s">
        <v>56</v>
      </c>
      <c r="K322" s="59"/>
      <c r="L322" s="10"/>
    </row>
    <row r="323" spans="2:68" s="3" customFormat="1" ht="19.5" customHeight="1" x14ac:dyDescent="0.3">
      <c r="B323" s="26" t="s">
        <v>9</v>
      </c>
      <c r="C323" s="27" t="s">
        <v>2</v>
      </c>
      <c r="D323" s="27">
        <v>85</v>
      </c>
      <c r="E323" s="27"/>
      <c r="F323" s="27" t="s">
        <v>226</v>
      </c>
      <c r="G323" s="30">
        <v>0.33300000000000002</v>
      </c>
      <c r="H323" s="28" t="s">
        <v>62</v>
      </c>
      <c r="I323" s="39">
        <v>240000</v>
      </c>
      <c r="J323" s="29" t="s">
        <v>56</v>
      </c>
      <c r="K323" s="59"/>
      <c r="L323" s="10"/>
    </row>
    <row r="324" spans="2:68" s="3" customFormat="1" ht="19.5" customHeight="1" x14ac:dyDescent="0.3">
      <c r="B324" s="66" t="s">
        <v>9</v>
      </c>
      <c r="C324" s="67" t="s">
        <v>2</v>
      </c>
      <c r="D324" s="67">
        <v>90</v>
      </c>
      <c r="E324" s="67"/>
      <c r="F324" s="67" t="s">
        <v>321</v>
      </c>
      <c r="G324" s="81">
        <v>0.376</v>
      </c>
      <c r="H324" s="76" t="s">
        <v>62</v>
      </c>
      <c r="I324" s="75">
        <v>250000</v>
      </c>
      <c r="J324" s="71" t="s">
        <v>56</v>
      </c>
      <c r="K324" s="56"/>
      <c r="L324" s="10"/>
    </row>
    <row r="325" spans="2:68" s="3" customFormat="1" ht="19.5" customHeight="1" x14ac:dyDescent="0.3">
      <c r="B325" s="66" t="s">
        <v>9</v>
      </c>
      <c r="C325" s="67" t="s">
        <v>2</v>
      </c>
      <c r="D325" s="67">
        <v>90</v>
      </c>
      <c r="E325" s="67"/>
      <c r="F325" s="67" t="s">
        <v>291</v>
      </c>
      <c r="G325" s="81">
        <v>5.1289999999999996</v>
      </c>
      <c r="H325" s="76" t="s">
        <v>62</v>
      </c>
      <c r="I325" s="75">
        <v>250000</v>
      </c>
      <c r="J325" s="71" t="s">
        <v>56</v>
      </c>
      <c r="K325" s="120"/>
      <c r="L325" s="10"/>
    </row>
    <row r="326" spans="2:68" s="3" customFormat="1" ht="19.5" customHeight="1" x14ac:dyDescent="0.3">
      <c r="B326" s="66" t="s">
        <v>9</v>
      </c>
      <c r="C326" s="67" t="s">
        <v>2</v>
      </c>
      <c r="D326" s="67">
        <v>100</v>
      </c>
      <c r="E326" s="67"/>
      <c r="F326" s="67" t="s">
        <v>394</v>
      </c>
      <c r="G326" s="81">
        <v>3</v>
      </c>
      <c r="H326" s="69" t="s">
        <v>58</v>
      </c>
      <c r="I326" s="75">
        <v>250000</v>
      </c>
      <c r="J326" s="71" t="s">
        <v>392</v>
      </c>
      <c r="K326" s="120"/>
      <c r="L326" s="10"/>
    </row>
    <row r="327" spans="2:68" s="3" customFormat="1" ht="19.5" customHeight="1" x14ac:dyDescent="0.3">
      <c r="B327" s="26" t="s">
        <v>9</v>
      </c>
      <c r="C327" s="27" t="s">
        <v>2</v>
      </c>
      <c r="D327" s="27">
        <v>100</v>
      </c>
      <c r="E327" s="27"/>
      <c r="F327" s="27" t="s">
        <v>226</v>
      </c>
      <c r="G327" s="30">
        <v>1.216</v>
      </c>
      <c r="H327" s="28" t="s">
        <v>62</v>
      </c>
      <c r="I327" s="39">
        <v>240000</v>
      </c>
      <c r="J327" s="29" t="s">
        <v>56</v>
      </c>
      <c r="K327" s="59"/>
      <c r="L327" s="10"/>
    </row>
    <row r="328" spans="2:68" s="3" customFormat="1" ht="19.5" customHeight="1" x14ac:dyDescent="0.3">
      <c r="B328" s="66" t="s">
        <v>9</v>
      </c>
      <c r="C328" s="67" t="s">
        <v>2</v>
      </c>
      <c r="D328" s="67">
        <v>110</v>
      </c>
      <c r="E328" s="67"/>
      <c r="F328" s="67" t="s">
        <v>395</v>
      </c>
      <c r="G328" s="81">
        <v>3</v>
      </c>
      <c r="H328" s="69" t="s">
        <v>58</v>
      </c>
      <c r="I328" s="75">
        <v>250000</v>
      </c>
      <c r="J328" s="71" t="s">
        <v>392</v>
      </c>
      <c r="K328" s="59"/>
      <c r="L328" s="10"/>
    </row>
    <row r="329" spans="2:68" s="3" customFormat="1" ht="19.5" customHeight="1" x14ac:dyDescent="0.3">
      <c r="B329" s="26" t="s">
        <v>9</v>
      </c>
      <c r="C329" s="27" t="s">
        <v>2</v>
      </c>
      <c r="D329" s="27">
        <v>110</v>
      </c>
      <c r="E329" s="27"/>
      <c r="F329" s="27" t="s">
        <v>388</v>
      </c>
      <c r="G329" s="30">
        <v>1.978</v>
      </c>
      <c r="H329" s="28" t="s">
        <v>61</v>
      </c>
      <c r="I329" s="39">
        <v>220000</v>
      </c>
      <c r="J329" s="29" t="s">
        <v>56</v>
      </c>
      <c r="K329" s="59"/>
      <c r="L329" s="10"/>
    </row>
    <row r="330" spans="2:68" s="3" customFormat="1" ht="19.5" customHeight="1" x14ac:dyDescent="0.3">
      <c r="B330" s="26" t="s">
        <v>9</v>
      </c>
      <c r="C330" s="27" t="s">
        <v>2</v>
      </c>
      <c r="D330" s="27">
        <v>110</v>
      </c>
      <c r="E330" s="27"/>
      <c r="F330" s="27" t="s">
        <v>213</v>
      </c>
      <c r="G330" s="30">
        <v>0.125</v>
      </c>
      <c r="H330" s="28" t="s">
        <v>62</v>
      </c>
      <c r="I330" s="39">
        <v>220000</v>
      </c>
      <c r="J330" s="29" t="s">
        <v>56</v>
      </c>
      <c r="K330" s="14"/>
      <c r="L330" s="10"/>
    </row>
    <row r="331" spans="2:68" s="3" customFormat="1" ht="19.5" customHeight="1" x14ac:dyDescent="0.3">
      <c r="B331" s="66" t="s">
        <v>9</v>
      </c>
      <c r="C331" s="67" t="s">
        <v>2</v>
      </c>
      <c r="D331" s="67">
        <v>120</v>
      </c>
      <c r="E331" s="67"/>
      <c r="F331" s="67" t="s">
        <v>395</v>
      </c>
      <c r="G331" s="81">
        <v>3</v>
      </c>
      <c r="H331" s="69" t="s">
        <v>58</v>
      </c>
      <c r="I331" s="75">
        <v>250000</v>
      </c>
      <c r="J331" s="71" t="s">
        <v>392</v>
      </c>
      <c r="K331" s="14"/>
      <c r="L331" s="10"/>
    </row>
    <row r="332" spans="2:68" s="3" customFormat="1" ht="19.5" customHeight="1" x14ac:dyDescent="0.3">
      <c r="B332" s="26" t="s">
        <v>9</v>
      </c>
      <c r="C332" s="27" t="s">
        <v>2</v>
      </c>
      <c r="D332" s="27">
        <v>120</v>
      </c>
      <c r="E332" s="27"/>
      <c r="F332" s="27" t="s">
        <v>104</v>
      </c>
      <c r="G332" s="30">
        <v>2.8090000000000002</v>
      </c>
      <c r="H332" s="28" t="s">
        <v>62</v>
      </c>
      <c r="I332" s="39">
        <v>250000</v>
      </c>
      <c r="J332" s="29" t="s">
        <v>56</v>
      </c>
      <c r="K332" s="14"/>
      <c r="L332" s="10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</row>
    <row r="333" spans="2:68" s="19" customFormat="1" ht="19.5" customHeight="1" x14ac:dyDescent="0.3">
      <c r="B333" s="26" t="s">
        <v>9</v>
      </c>
      <c r="C333" s="27" t="s">
        <v>2</v>
      </c>
      <c r="D333" s="27">
        <v>130</v>
      </c>
      <c r="E333" s="27"/>
      <c r="F333" s="27" t="s">
        <v>177</v>
      </c>
      <c r="G333" s="30">
        <v>0.129</v>
      </c>
      <c r="H333" s="28" t="s">
        <v>58</v>
      </c>
      <c r="I333" s="39">
        <v>250000</v>
      </c>
      <c r="J333" s="29" t="s">
        <v>56</v>
      </c>
      <c r="K333" s="14"/>
      <c r="L333" s="10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</row>
    <row r="334" spans="2:68" s="19" customFormat="1" ht="19.5" customHeight="1" x14ac:dyDescent="0.3">
      <c r="B334" s="66" t="s">
        <v>9</v>
      </c>
      <c r="C334" s="67" t="s">
        <v>2</v>
      </c>
      <c r="D334" s="67">
        <v>130</v>
      </c>
      <c r="E334" s="67"/>
      <c r="F334" s="67" t="s">
        <v>301</v>
      </c>
      <c r="G334" s="81">
        <v>4.3520000000000003</v>
      </c>
      <c r="H334" s="76" t="s">
        <v>62</v>
      </c>
      <c r="I334" s="75">
        <v>250000</v>
      </c>
      <c r="J334" s="66" t="s">
        <v>56</v>
      </c>
      <c r="K334" s="56"/>
      <c r="L334" s="10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</row>
    <row r="335" spans="2:68" s="3" customFormat="1" ht="19.5" customHeight="1" x14ac:dyDescent="0.3">
      <c r="B335" s="26" t="s">
        <v>9</v>
      </c>
      <c r="C335" s="27" t="s">
        <v>2</v>
      </c>
      <c r="D335" s="27">
        <v>135</v>
      </c>
      <c r="E335" s="27"/>
      <c r="F335" s="27" t="s">
        <v>118</v>
      </c>
      <c r="G335" s="30">
        <v>0.92200000000000004</v>
      </c>
      <c r="H335" s="28" t="s">
        <v>62</v>
      </c>
      <c r="I335" s="39">
        <v>220000</v>
      </c>
      <c r="J335" s="29" t="s">
        <v>56</v>
      </c>
      <c r="K335" s="14"/>
      <c r="L335" s="10"/>
    </row>
    <row r="336" spans="2:68" s="3" customFormat="1" ht="19.5" customHeight="1" x14ac:dyDescent="0.3">
      <c r="B336" s="26" t="s">
        <v>9</v>
      </c>
      <c r="C336" s="27" t="s">
        <v>2</v>
      </c>
      <c r="D336" s="27">
        <v>140</v>
      </c>
      <c r="E336" s="27"/>
      <c r="F336" s="27" t="s">
        <v>141</v>
      </c>
      <c r="G336" s="30">
        <v>4.8540000000000001</v>
      </c>
      <c r="H336" s="28" t="s">
        <v>62</v>
      </c>
      <c r="I336" s="39">
        <v>220000</v>
      </c>
      <c r="J336" s="29" t="s">
        <v>56</v>
      </c>
      <c r="K336" s="12"/>
      <c r="L336" s="10"/>
    </row>
    <row r="337" spans="2:68" s="3" customFormat="1" ht="19.5" customHeight="1" x14ac:dyDescent="0.3">
      <c r="B337" s="26" t="s">
        <v>9</v>
      </c>
      <c r="C337" s="27" t="s">
        <v>2</v>
      </c>
      <c r="D337" s="27">
        <v>150</v>
      </c>
      <c r="E337" s="27"/>
      <c r="F337" s="27" t="s">
        <v>177</v>
      </c>
      <c r="G337" s="30">
        <v>16.184999999999999</v>
      </c>
      <c r="H337" s="28" t="s">
        <v>58</v>
      </c>
      <c r="I337" s="39">
        <v>220000</v>
      </c>
      <c r="J337" s="29" t="s">
        <v>56</v>
      </c>
      <c r="K337" s="12"/>
      <c r="L337" s="10"/>
    </row>
    <row r="338" spans="2:68" s="3" customFormat="1" ht="19.5" customHeight="1" x14ac:dyDescent="0.3">
      <c r="B338" s="66" t="s">
        <v>9</v>
      </c>
      <c r="C338" s="67" t="s">
        <v>2</v>
      </c>
      <c r="D338" s="67">
        <v>160</v>
      </c>
      <c r="E338" s="67"/>
      <c r="F338" s="67" t="s">
        <v>301</v>
      </c>
      <c r="G338" s="81">
        <v>5.71</v>
      </c>
      <c r="H338" s="76" t="s">
        <v>62</v>
      </c>
      <c r="I338" s="75">
        <v>250000</v>
      </c>
      <c r="J338" s="66" t="s">
        <v>56</v>
      </c>
      <c r="K338" s="56"/>
      <c r="L338" s="10"/>
    </row>
    <row r="339" spans="2:68" s="3" customFormat="1" ht="19.5" customHeight="1" x14ac:dyDescent="0.3">
      <c r="B339" s="66" t="s">
        <v>9</v>
      </c>
      <c r="C339" s="67" t="s">
        <v>2</v>
      </c>
      <c r="D339" s="67">
        <v>170</v>
      </c>
      <c r="E339" s="67"/>
      <c r="F339" s="67" t="s">
        <v>321</v>
      </c>
      <c r="G339" s="81">
        <v>5.5670000000000002</v>
      </c>
      <c r="H339" s="76" t="s">
        <v>62</v>
      </c>
      <c r="I339" s="75">
        <v>250000</v>
      </c>
      <c r="J339" s="66" t="s">
        <v>56</v>
      </c>
      <c r="K339" s="56"/>
      <c r="L339" s="10"/>
    </row>
    <row r="340" spans="2:68" s="3" customFormat="1" ht="19.5" customHeight="1" x14ac:dyDescent="0.3">
      <c r="B340" s="66" t="s">
        <v>9</v>
      </c>
      <c r="C340" s="67" t="s">
        <v>2</v>
      </c>
      <c r="D340" s="67">
        <v>180</v>
      </c>
      <c r="E340" s="67"/>
      <c r="F340" s="67" t="s">
        <v>395</v>
      </c>
      <c r="G340" s="81">
        <v>3</v>
      </c>
      <c r="H340" s="69" t="s">
        <v>58</v>
      </c>
      <c r="I340" s="75">
        <v>250000</v>
      </c>
      <c r="J340" s="71" t="s">
        <v>392</v>
      </c>
      <c r="K340" s="56"/>
      <c r="L340" s="10"/>
    </row>
    <row r="341" spans="2:68" s="3" customFormat="1" ht="18.75" customHeight="1" x14ac:dyDescent="0.3">
      <c r="B341" s="66" t="s">
        <v>9</v>
      </c>
      <c r="C341" s="67" t="s">
        <v>2</v>
      </c>
      <c r="D341" s="67">
        <v>180</v>
      </c>
      <c r="E341" s="67"/>
      <c r="F341" s="67" t="s">
        <v>321</v>
      </c>
      <c r="G341" s="81">
        <v>4.0979999999999999</v>
      </c>
      <c r="H341" s="76" t="s">
        <v>62</v>
      </c>
      <c r="I341" s="75">
        <v>250000</v>
      </c>
      <c r="J341" s="66" t="s">
        <v>56</v>
      </c>
      <c r="K341" s="64"/>
      <c r="L341" s="8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</row>
    <row r="342" spans="2:68" s="3" customFormat="1" ht="18.75" customHeight="1" x14ac:dyDescent="0.3">
      <c r="B342" s="66" t="s">
        <v>9</v>
      </c>
      <c r="C342" s="67" t="s">
        <v>2</v>
      </c>
      <c r="D342" s="67">
        <v>200</v>
      </c>
      <c r="E342" s="67"/>
      <c r="F342" s="67" t="s">
        <v>395</v>
      </c>
      <c r="G342" s="81">
        <v>9</v>
      </c>
      <c r="H342" s="69" t="s">
        <v>58</v>
      </c>
      <c r="I342" s="75">
        <v>250000</v>
      </c>
      <c r="J342" s="71" t="s">
        <v>392</v>
      </c>
      <c r="K342" s="64"/>
      <c r="L342" s="8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</row>
    <row r="343" spans="2:68" s="3" customFormat="1" ht="18.75" customHeight="1" x14ac:dyDescent="0.3">
      <c r="B343" s="66" t="s">
        <v>9</v>
      </c>
      <c r="C343" s="67" t="s">
        <v>2</v>
      </c>
      <c r="D343" s="67">
        <v>210</v>
      </c>
      <c r="E343" s="67"/>
      <c r="F343" s="67" t="s">
        <v>395</v>
      </c>
      <c r="G343" s="81">
        <v>3</v>
      </c>
      <c r="H343" s="69" t="s">
        <v>58</v>
      </c>
      <c r="I343" s="75">
        <v>250000</v>
      </c>
      <c r="J343" s="71" t="s">
        <v>392</v>
      </c>
      <c r="K343" s="56"/>
      <c r="L343" s="8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</row>
    <row r="344" spans="2:68" s="3" customFormat="1" ht="18.75" customHeight="1" x14ac:dyDescent="0.3">
      <c r="B344" s="26" t="s">
        <v>9</v>
      </c>
      <c r="C344" s="27" t="s">
        <v>2</v>
      </c>
      <c r="D344" s="27">
        <v>210</v>
      </c>
      <c r="E344" s="27"/>
      <c r="F344" s="27" t="s">
        <v>336</v>
      </c>
      <c r="G344" s="30">
        <v>0.38400000000000001</v>
      </c>
      <c r="H344" s="28" t="s">
        <v>85</v>
      </c>
      <c r="I344" s="39">
        <v>250000</v>
      </c>
      <c r="J344" s="29" t="s">
        <v>56</v>
      </c>
      <c r="K344" s="56"/>
      <c r="L344" s="8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</row>
    <row r="345" spans="2:68" ht="18.75" customHeight="1" x14ac:dyDescent="0.3">
      <c r="B345" s="26" t="s">
        <v>9</v>
      </c>
      <c r="C345" s="27" t="s">
        <v>2</v>
      </c>
      <c r="D345" s="27">
        <v>220</v>
      </c>
      <c r="E345" s="27"/>
      <c r="F345" s="27" t="s">
        <v>226</v>
      </c>
      <c r="G345" s="30">
        <v>0.66300000000000003</v>
      </c>
      <c r="H345" s="28" t="s">
        <v>85</v>
      </c>
      <c r="I345" s="39">
        <v>250000</v>
      </c>
      <c r="J345" s="29" t="s">
        <v>56</v>
      </c>
      <c r="K345" s="13"/>
      <c r="L345" s="11"/>
    </row>
    <row r="346" spans="2:68" ht="18.75" customHeight="1" x14ac:dyDescent="0.3">
      <c r="B346" s="66" t="s">
        <v>9</v>
      </c>
      <c r="C346" s="67" t="s">
        <v>2</v>
      </c>
      <c r="D346" s="67">
        <v>220</v>
      </c>
      <c r="E346" s="67"/>
      <c r="F346" s="67" t="s">
        <v>321</v>
      </c>
      <c r="G346" s="81">
        <v>2.661</v>
      </c>
      <c r="H346" s="76" t="s">
        <v>62</v>
      </c>
      <c r="I346" s="75">
        <v>250000</v>
      </c>
      <c r="J346" s="71" t="s">
        <v>56</v>
      </c>
      <c r="K346" s="13"/>
      <c r="L346" s="11"/>
    </row>
    <row r="347" spans="2:68" ht="18.75" customHeight="1" x14ac:dyDescent="0.3">
      <c r="B347" s="73" t="s">
        <v>9</v>
      </c>
      <c r="C347" s="74" t="s">
        <v>2</v>
      </c>
      <c r="D347" s="74">
        <v>230</v>
      </c>
      <c r="E347" s="74"/>
      <c r="F347" s="74" t="s">
        <v>282</v>
      </c>
      <c r="G347" s="81">
        <v>3.5779999999999998</v>
      </c>
      <c r="H347" s="79" t="s">
        <v>85</v>
      </c>
      <c r="I347" s="75">
        <v>250000</v>
      </c>
      <c r="J347" s="71" t="s">
        <v>56</v>
      </c>
      <c r="K347" s="56"/>
      <c r="L347" s="11"/>
    </row>
    <row r="348" spans="2:68" ht="18.75" customHeight="1" x14ac:dyDescent="0.3">
      <c r="B348" s="66" t="s">
        <v>9</v>
      </c>
      <c r="C348" s="67" t="s">
        <v>2</v>
      </c>
      <c r="D348" s="67">
        <v>240</v>
      </c>
      <c r="E348" s="67"/>
      <c r="F348" s="67" t="s">
        <v>302</v>
      </c>
      <c r="G348" s="81">
        <v>8.76</v>
      </c>
      <c r="H348" s="76" t="s">
        <v>62</v>
      </c>
      <c r="I348" s="75">
        <v>270000</v>
      </c>
      <c r="J348" s="66" t="s">
        <v>56</v>
      </c>
      <c r="K348" s="56"/>
      <c r="L348" s="11"/>
    </row>
    <row r="349" spans="2:68" ht="18.75" customHeight="1" x14ac:dyDescent="0.3">
      <c r="B349" s="66" t="s">
        <v>9</v>
      </c>
      <c r="C349" s="67" t="s">
        <v>2</v>
      </c>
      <c r="D349" s="67">
        <v>250</v>
      </c>
      <c r="E349" s="67"/>
      <c r="F349" s="67" t="s">
        <v>303</v>
      </c>
      <c r="G349" s="81">
        <v>7.194</v>
      </c>
      <c r="H349" s="76" t="s">
        <v>62</v>
      </c>
      <c r="I349" s="75">
        <v>270000</v>
      </c>
      <c r="J349" s="66" t="s">
        <v>56</v>
      </c>
      <c r="K349" s="56"/>
      <c r="L349" s="11"/>
    </row>
    <row r="350" spans="2:68" ht="18.75" customHeight="1" x14ac:dyDescent="0.3">
      <c r="B350" s="66" t="s">
        <v>9</v>
      </c>
      <c r="C350" s="67" t="s">
        <v>2</v>
      </c>
      <c r="D350" s="67">
        <v>260</v>
      </c>
      <c r="E350" s="67"/>
      <c r="F350" s="67" t="s">
        <v>304</v>
      </c>
      <c r="G350" s="81">
        <v>3.714</v>
      </c>
      <c r="H350" s="76" t="s">
        <v>62</v>
      </c>
      <c r="I350" s="75">
        <v>270000</v>
      </c>
      <c r="J350" s="66" t="s">
        <v>56</v>
      </c>
      <c r="K350" s="56"/>
      <c r="L350" s="11"/>
    </row>
    <row r="351" spans="2:68" ht="18.75" customHeight="1" x14ac:dyDescent="0.3">
      <c r="B351" s="66" t="s">
        <v>9</v>
      </c>
      <c r="C351" s="67" t="s">
        <v>2</v>
      </c>
      <c r="D351" s="67">
        <v>280</v>
      </c>
      <c r="E351" s="67"/>
      <c r="F351" s="67" t="s">
        <v>304</v>
      </c>
      <c r="G351" s="81">
        <v>3.4729999999999999</v>
      </c>
      <c r="H351" s="76" t="s">
        <v>62</v>
      </c>
      <c r="I351" s="75">
        <v>270000</v>
      </c>
      <c r="J351" s="66" t="s">
        <v>56</v>
      </c>
      <c r="K351" s="56"/>
      <c r="L351" s="8"/>
    </row>
    <row r="352" spans="2:68" ht="18.75" customHeight="1" x14ac:dyDescent="0.3">
      <c r="B352" s="26" t="s">
        <v>9</v>
      </c>
      <c r="C352" s="27" t="s">
        <v>2</v>
      </c>
      <c r="D352" s="27">
        <v>300</v>
      </c>
      <c r="E352" s="27"/>
      <c r="F352" s="27" t="s">
        <v>169</v>
      </c>
      <c r="G352" s="30">
        <v>0.66100000000000003</v>
      </c>
      <c r="H352" s="28" t="s">
        <v>62</v>
      </c>
      <c r="I352" s="39">
        <v>280000</v>
      </c>
      <c r="J352" s="29" t="s">
        <v>56</v>
      </c>
      <c r="K352" s="12"/>
      <c r="L352" s="10"/>
    </row>
    <row r="353" spans="2:21" ht="18.75" customHeight="1" x14ac:dyDescent="0.3">
      <c r="B353" s="26" t="s">
        <v>9</v>
      </c>
      <c r="C353" s="27" t="s">
        <v>2</v>
      </c>
      <c r="D353" s="27">
        <v>310</v>
      </c>
      <c r="E353" s="27"/>
      <c r="F353" s="27" t="s">
        <v>120</v>
      </c>
      <c r="G353" s="30">
        <v>6.0449999999999999</v>
      </c>
      <c r="H353" s="28" t="s">
        <v>62</v>
      </c>
      <c r="I353" s="39">
        <v>280000</v>
      </c>
      <c r="J353" s="29" t="s">
        <v>56</v>
      </c>
      <c r="K353" s="12"/>
      <c r="L353" s="10"/>
    </row>
    <row r="354" spans="2:21" ht="18.75" customHeight="1" x14ac:dyDescent="0.3">
      <c r="B354" s="26" t="s">
        <v>9</v>
      </c>
      <c r="C354" s="27" t="s">
        <v>2</v>
      </c>
      <c r="D354" s="27">
        <v>310</v>
      </c>
      <c r="E354" s="27"/>
      <c r="F354" s="27" t="s">
        <v>169</v>
      </c>
      <c r="G354" s="30">
        <v>5.548</v>
      </c>
      <c r="H354" s="28" t="s">
        <v>62</v>
      </c>
      <c r="I354" s="39">
        <v>280000</v>
      </c>
      <c r="J354" s="29" t="s">
        <v>56</v>
      </c>
      <c r="K354" s="12"/>
      <c r="L354" s="10"/>
    </row>
    <row r="355" spans="2:21" s="2" customFormat="1" ht="18.75" customHeight="1" x14ac:dyDescent="0.3">
      <c r="B355" s="26" t="s">
        <v>9</v>
      </c>
      <c r="C355" s="27" t="s">
        <v>2</v>
      </c>
      <c r="D355" s="27">
        <v>340</v>
      </c>
      <c r="E355" s="27"/>
      <c r="F355" s="27" t="s">
        <v>170</v>
      </c>
      <c r="G355" s="30">
        <v>7.218</v>
      </c>
      <c r="H355" s="28" t="s">
        <v>62</v>
      </c>
      <c r="I355" s="39">
        <v>280000</v>
      </c>
      <c r="J355" s="29" t="s">
        <v>56</v>
      </c>
      <c r="K355" s="14"/>
      <c r="L355" s="8"/>
    </row>
    <row r="356" spans="2:21" ht="18.75" customHeight="1" x14ac:dyDescent="0.3">
      <c r="B356" s="26" t="s">
        <v>9</v>
      </c>
      <c r="C356" s="27" t="s">
        <v>2</v>
      </c>
      <c r="D356" s="27">
        <v>350</v>
      </c>
      <c r="E356" s="27"/>
      <c r="F356" s="27" t="s">
        <v>170</v>
      </c>
      <c r="G356" s="30">
        <v>4.9720000000000004</v>
      </c>
      <c r="H356" s="28" t="s">
        <v>62</v>
      </c>
      <c r="I356" s="39">
        <v>280000</v>
      </c>
      <c r="J356" s="29" t="s">
        <v>56</v>
      </c>
      <c r="K356" s="12"/>
      <c r="L356" s="10"/>
    </row>
    <row r="357" spans="2:21" ht="18.75" customHeight="1" x14ac:dyDescent="0.3">
      <c r="B357" s="26" t="s">
        <v>9</v>
      </c>
      <c r="C357" s="27" t="s">
        <v>2</v>
      </c>
      <c r="D357" s="27">
        <v>350</v>
      </c>
      <c r="E357" s="27"/>
      <c r="F357" s="27" t="s">
        <v>170</v>
      </c>
      <c r="G357" s="30">
        <v>5.3380000000000001</v>
      </c>
      <c r="H357" s="28" t="s">
        <v>62</v>
      </c>
      <c r="I357" s="39">
        <v>280000</v>
      </c>
      <c r="J357" s="29" t="s">
        <v>56</v>
      </c>
      <c r="K357" s="12"/>
      <c r="L357" s="10"/>
    </row>
    <row r="358" spans="2:21" ht="18.75" customHeight="1" x14ac:dyDescent="0.3">
      <c r="B358" s="26" t="s">
        <v>9</v>
      </c>
      <c r="C358" s="27" t="s">
        <v>389</v>
      </c>
      <c r="D358" s="27">
        <v>38</v>
      </c>
      <c r="E358" s="27"/>
      <c r="F358" s="27"/>
      <c r="G358" s="30">
        <v>6.0999999999999999E-2</v>
      </c>
      <c r="H358" s="28"/>
      <c r="I358" s="39">
        <v>135000</v>
      </c>
      <c r="J358" s="29" t="s">
        <v>56</v>
      </c>
      <c r="K358" s="12"/>
      <c r="L358" s="10"/>
    </row>
    <row r="359" spans="2:21" ht="18.75" customHeight="1" x14ac:dyDescent="0.3">
      <c r="B359" s="26" t="s">
        <v>9</v>
      </c>
      <c r="C359" s="27" t="s">
        <v>389</v>
      </c>
      <c r="D359" s="27">
        <v>65</v>
      </c>
      <c r="E359" s="27"/>
      <c r="F359" s="27"/>
      <c r="G359" s="30">
        <v>9.1999999999999998E-2</v>
      </c>
      <c r="H359" s="28" t="s">
        <v>289</v>
      </c>
      <c r="I359" s="39">
        <v>135000</v>
      </c>
      <c r="J359" s="29" t="s">
        <v>56</v>
      </c>
      <c r="K359" s="12"/>
      <c r="L359" s="10"/>
    </row>
    <row r="360" spans="2:21" ht="18.75" customHeight="1" x14ac:dyDescent="0.3">
      <c r="B360" s="26" t="s">
        <v>9</v>
      </c>
      <c r="C360" s="27" t="s">
        <v>389</v>
      </c>
      <c r="D360" s="27">
        <v>75</v>
      </c>
      <c r="E360" s="27"/>
      <c r="F360" s="27"/>
      <c r="G360" s="30">
        <v>0.83499999999999996</v>
      </c>
      <c r="H360" s="28" t="s">
        <v>58</v>
      </c>
      <c r="I360" s="39">
        <v>120000</v>
      </c>
      <c r="J360" s="29" t="s">
        <v>56</v>
      </c>
      <c r="K360" s="12"/>
      <c r="L360" s="10"/>
    </row>
    <row r="361" spans="2:21" ht="18" customHeight="1" x14ac:dyDescent="0.3">
      <c r="B361" s="26" t="s">
        <v>9</v>
      </c>
      <c r="C361" s="27" t="s">
        <v>296</v>
      </c>
      <c r="D361" s="27">
        <v>90</v>
      </c>
      <c r="E361" s="27"/>
      <c r="F361" s="27"/>
      <c r="G361" s="20">
        <v>0.124</v>
      </c>
      <c r="H361" s="28" t="s">
        <v>199</v>
      </c>
      <c r="I361" s="38">
        <v>140000</v>
      </c>
      <c r="J361" s="29" t="s">
        <v>56</v>
      </c>
      <c r="K361" s="12"/>
      <c r="L361" s="10"/>
    </row>
    <row r="362" spans="2:21" s="3" customFormat="1" ht="19.5" customHeight="1" x14ac:dyDescent="0.3">
      <c r="B362" s="26" t="s">
        <v>11</v>
      </c>
      <c r="C362" s="27" t="s">
        <v>4</v>
      </c>
      <c r="D362" s="27">
        <v>70</v>
      </c>
      <c r="E362" s="27"/>
      <c r="F362" s="27"/>
      <c r="G362" s="30">
        <v>0.28600000000000003</v>
      </c>
      <c r="H362" s="31" t="s">
        <v>34</v>
      </c>
      <c r="I362" s="38">
        <v>250000</v>
      </c>
      <c r="J362" s="29" t="s">
        <v>56</v>
      </c>
      <c r="K362" s="12"/>
      <c r="L362" s="10"/>
    </row>
    <row r="363" spans="2:21" ht="18.75" x14ac:dyDescent="0.3">
      <c r="B363" s="26" t="s">
        <v>9</v>
      </c>
      <c r="C363" s="27" t="s">
        <v>4</v>
      </c>
      <c r="D363" s="27">
        <v>10</v>
      </c>
      <c r="E363" s="27"/>
      <c r="F363" s="27" t="s">
        <v>97</v>
      </c>
      <c r="G363" s="30">
        <v>0.63700000000000001</v>
      </c>
      <c r="H363" s="33" t="s">
        <v>96</v>
      </c>
      <c r="I363" s="38">
        <v>300000</v>
      </c>
      <c r="J363" s="29" t="s">
        <v>56</v>
      </c>
      <c r="K363" s="14"/>
      <c r="L363" s="11"/>
    </row>
    <row r="364" spans="2:21" ht="18.75" x14ac:dyDescent="0.3">
      <c r="B364" s="26" t="s">
        <v>9</v>
      </c>
      <c r="C364" s="27" t="s">
        <v>4</v>
      </c>
      <c r="D364" s="27">
        <v>18</v>
      </c>
      <c r="E364" s="27"/>
      <c r="F364" s="27" t="s">
        <v>97</v>
      </c>
      <c r="G364" s="30">
        <v>0.24099999999999999</v>
      </c>
      <c r="H364" s="33" t="s">
        <v>96</v>
      </c>
      <c r="I364" s="38">
        <v>300000</v>
      </c>
      <c r="J364" s="29" t="s">
        <v>56</v>
      </c>
      <c r="K364" s="12"/>
      <c r="L364" s="11"/>
    </row>
    <row r="365" spans="2:21" ht="18.75" x14ac:dyDescent="0.3">
      <c r="B365" s="26" t="s">
        <v>9</v>
      </c>
      <c r="C365" s="27" t="s">
        <v>4</v>
      </c>
      <c r="D365" s="27">
        <v>30</v>
      </c>
      <c r="E365" s="27"/>
      <c r="F365" s="27" t="s">
        <v>137</v>
      </c>
      <c r="G365" s="30">
        <v>1.321</v>
      </c>
      <c r="H365" s="33" t="s">
        <v>58</v>
      </c>
      <c r="I365" s="38">
        <v>320000</v>
      </c>
      <c r="J365" s="29" t="s">
        <v>56</v>
      </c>
      <c r="K365" s="13"/>
      <c r="L365" s="11"/>
    </row>
    <row r="366" spans="2:21" s="72" customFormat="1" ht="18.75" x14ac:dyDescent="0.3">
      <c r="B366" s="66" t="s">
        <v>9</v>
      </c>
      <c r="C366" s="67" t="s">
        <v>4</v>
      </c>
      <c r="D366" s="67">
        <v>36</v>
      </c>
      <c r="E366" s="67"/>
      <c r="F366" s="67" t="s">
        <v>257</v>
      </c>
      <c r="G366" s="81">
        <v>0.89600000000000002</v>
      </c>
      <c r="H366" s="69" t="s">
        <v>58</v>
      </c>
      <c r="I366" s="70">
        <v>340000</v>
      </c>
      <c r="J366" s="71" t="s">
        <v>56</v>
      </c>
      <c r="K366" s="13"/>
      <c r="L366" s="11"/>
      <c r="M366" s="1"/>
      <c r="N366" s="1"/>
      <c r="O366" s="1"/>
      <c r="P366" s="1"/>
      <c r="Q366" s="1"/>
      <c r="R366" s="1"/>
      <c r="S366" s="1"/>
      <c r="T366" s="1"/>
      <c r="U366" s="1"/>
    </row>
    <row r="367" spans="2:21" s="72" customFormat="1" ht="18.75" x14ac:dyDescent="0.3">
      <c r="B367" s="66" t="s">
        <v>9</v>
      </c>
      <c r="C367" s="67" t="s">
        <v>4</v>
      </c>
      <c r="D367" s="67">
        <v>40</v>
      </c>
      <c r="E367" s="67"/>
      <c r="F367" s="67" t="s">
        <v>257</v>
      </c>
      <c r="G367" s="81">
        <v>8.9999999999999993E-3</v>
      </c>
      <c r="H367" s="69" t="s">
        <v>58</v>
      </c>
      <c r="I367" s="70">
        <v>340000</v>
      </c>
      <c r="J367" s="71" t="s">
        <v>56</v>
      </c>
      <c r="K367" s="13"/>
      <c r="L367" s="11"/>
      <c r="M367" s="1"/>
      <c r="N367" s="1"/>
      <c r="O367" s="1"/>
      <c r="P367" s="1"/>
      <c r="Q367" s="1"/>
      <c r="R367" s="1"/>
      <c r="S367" s="1"/>
      <c r="T367" s="1"/>
      <c r="U367" s="1"/>
    </row>
    <row r="368" spans="2:21" ht="18.75" x14ac:dyDescent="0.3">
      <c r="B368" s="26" t="s">
        <v>9</v>
      </c>
      <c r="C368" s="27" t="s">
        <v>4</v>
      </c>
      <c r="D368" s="27">
        <v>45</v>
      </c>
      <c r="E368" s="27"/>
      <c r="F368" s="27" t="s">
        <v>233</v>
      </c>
      <c r="G368" s="30">
        <v>0.88500000000000001</v>
      </c>
      <c r="H368" s="33" t="s">
        <v>58</v>
      </c>
      <c r="I368" s="38">
        <v>320000</v>
      </c>
      <c r="J368" s="29" t="s">
        <v>56</v>
      </c>
      <c r="K368" s="13"/>
      <c r="L368" s="11"/>
    </row>
    <row r="369" spans="2:21" ht="18.75" x14ac:dyDescent="0.3">
      <c r="B369" s="26" t="s">
        <v>9</v>
      </c>
      <c r="C369" s="27" t="s">
        <v>4</v>
      </c>
      <c r="D369" s="27">
        <v>50</v>
      </c>
      <c r="E369" s="27"/>
      <c r="F369" s="27" t="s">
        <v>233</v>
      </c>
      <c r="G369" s="30">
        <v>0.94199999999999995</v>
      </c>
      <c r="H369" s="33" t="s">
        <v>58</v>
      </c>
      <c r="I369" s="38">
        <v>320000</v>
      </c>
      <c r="J369" s="29" t="s">
        <v>56</v>
      </c>
      <c r="K369" s="13"/>
      <c r="L369" s="11"/>
    </row>
    <row r="370" spans="2:21" ht="18.75" x14ac:dyDescent="0.3">
      <c r="B370" s="66" t="s">
        <v>9</v>
      </c>
      <c r="C370" s="67" t="s">
        <v>4</v>
      </c>
      <c r="D370" s="67">
        <v>60</v>
      </c>
      <c r="E370" s="67"/>
      <c r="F370" s="67" t="s">
        <v>335</v>
      </c>
      <c r="G370" s="81">
        <v>2.6240000000000001</v>
      </c>
      <c r="H370" s="69" t="s">
        <v>58</v>
      </c>
      <c r="I370" s="70">
        <v>350000</v>
      </c>
      <c r="J370" s="71" t="s">
        <v>56</v>
      </c>
      <c r="K370" s="13"/>
      <c r="L370" s="11"/>
    </row>
    <row r="371" spans="2:21" ht="18.75" x14ac:dyDescent="0.3">
      <c r="B371" s="26" t="s">
        <v>9</v>
      </c>
      <c r="C371" s="27" t="s">
        <v>4</v>
      </c>
      <c r="D371" s="27">
        <v>60</v>
      </c>
      <c r="E371" s="27"/>
      <c r="F371" s="27" t="s">
        <v>257</v>
      </c>
      <c r="G371" s="30">
        <v>0.16900000000000001</v>
      </c>
      <c r="H371" s="33" t="s">
        <v>58</v>
      </c>
      <c r="I371" s="38">
        <v>330000</v>
      </c>
      <c r="J371" s="29" t="s">
        <v>56</v>
      </c>
      <c r="K371" s="13"/>
      <c r="L371" s="11"/>
    </row>
    <row r="372" spans="2:21" ht="18.75" x14ac:dyDescent="0.3">
      <c r="B372" s="26" t="s">
        <v>9</v>
      </c>
      <c r="C372" s="27" t="s">
        <v>4</v>
      </c>
      <c r="D372" s="27">
        <v>70</v>
      </c>
      <c r="E372" s="27"/>
      <c r="F372" s="27"/>
      <c r="G372" s="30">
        <v>6.56</v>
      </c>
      <c r="H372" s="33" t="s">
        <v>62</v>
      </c>
      <c r="I372" s="38">
        <v>280000</v>
      </c>
      <c r="J372" s="29" t="s">
        <v>56</v>
      </c>
      <c r="K372" s="13"/>
      <c r="L372" s="11"/>
    </row>
    <row r="373" spans="2:21" ht="18.75" x14ac:dyDescent="0.3">
      <c r="B373" s="26" t="s">
        <v>9</v>
      </c>
      <c r="C373" s="27" t="s">
        <v>4</v>
      </c>
      <c r="D373" s="27">
        <v>75</v>
      </c>
      <c r="E373" s="27"/>
      <c r="F373" s="27" t="s">
        <v>231</v>
      </c>
      <c r="G373" s="30">
        <v>2.0640000000000001</v>
      </c>
      <c r="H373" s="33" t="s">
        <v>62</v>
      </c>
      <c r="I373" s="38">
        <v>320000</v>
      </c>
      <c r="J373" s="29" t="s">
        <v>56</v>
      </c>
      <c r="K373" s="13"/>
      <c r="L373" s="11"/>
    </row>
    <row r="374" spans="2:21" ht="18.75" x14ac:dyDescent="0.3">
      <c r="B374" s="26" t="s">
        <v>9</v>
      </c>
      <c r="C374" s="27" t="s">
        <v>4</v>
      </c>
      <c r="D374" s="27">
        <v>80</v>
      </c>
      <c r="E374" s="27"/>
      <c r="F374" s="27" t="s">
        <v>137</v>
      </c>
      <c r="G374" s="30">
        <v>0.98899999999999999</v>
      </c>
      <c r="H374" s="33" t="s">
        <v>58</v>
      </c>
      <c r="I374" s="38">
        <v>320000</v>
      </c>
      <c r="J374" s="29" t="s">
        <v>56</v>
      </c>
      <c r="K374" s="14"/>
      <c r="L374" s="11"/>
    </row>
    <row r="375" spans="2:21" ht="18.75" x14ac:dyDescent="0.3">
      <c r="B375" s="26" t="s">
        <v>9</v>
      </c>
      <c r="C375" s="27" t="s">
        <v>4</v>
      </c>
      <c r="D375" s="27">
        <v>80</v>
      </c>
      <c r="E375" s="27"/>
      <c r="F375" s="27" t="s">
        <v>231</v>
      </c>
      <c r="G375" s="30">
        <v>9.1950000000000003</v>
      </c>
      <c r="H375" s="33" t="s">
        <v>62</v>
      </c>
      <c r="I375" s="38">
        <v>320000</v>
      </c>
      <c r="J375" s="29" t="s">
        <v>56</v>
      </c>
      <c r="K375" s="14"/>
      <c r="L375" s="11"/>
      <c r="N375" s="1" t="s">
        <v>6</v>
      </c>
    </row>
    <row r="376" spans="2:21" ht="18.75" x14ac:dyDescent="0.3">
      <c r="B376" s="26" t="s">
        <v>9</v>
      </c>
      <c r="C376" s="27" t="s">
        <v>4</v>
      </c>
      <c r="D376" s="27">
        <v>85</v>
      </c>
      <c r="E376" s="27"/>
      <c r="F376" s="27" t="s">
        <v>154</v>
      </c>
      <c r="G376" s="30">
        <v>0.39400000000000002</v>
      </c>
      <c r="H376" s="33" t="s">
        <v>58</v>
      </c>
      <c r="I376" s="38">
        <v>320000</v>
      </c>
      <c r="J376" s="29" t="s">
        <v>56</v>
      </c>
      <c r="K376" s="14"/>
      <c r="L376" s="11"/>
    </row>
    <row r="377" spans="2:21" ht="18.75" x14ac:dyDescent="0.3">
      <c r="B377" s="26" t="s">
        <v>9</v>
      </c>
      <c r="C377" s="27" t="s">
        <v>4</v>
      </c>
      <c r="D377" s="27">
        <v>85</v>
      </c>
      <c r="E377" s="27"/>
      <c r="F377" s="27" t="s">
        <v>229</v>
      </c>
      <c r="G377" s="30">
        <v>1.488</v>
      </c>
      <c r="H377" s="33" t="s">
        <v>62</v>
      </c>
      <c r="I377" s="38">
        <v>320000</v>
      </c>
      <c r="J377" s="29" t="s">
        <v>56</v>
      </c>
      <c r="K377" s="14"/>
      <c r="L377" s="11"/>
    </row>
    <row r="378" spans="2:21" ht="18.75" x14ac:dyDescent="0.3">
      <c r="B378" s="26" t="s">
        <v>9</v>
      </c>
      <c r="C378" s="27" t="s">
        <v>4</v>
      </c>
      <c r="D378" s="27">
        <v>90</v>
      </c>
      <c r="E378" s="27"/>
      <c r="F378" s="27" t="s">
        <v>228</v>
      </c>
      <c r="G378" s="30">
        <v>2.1819999999999999</v>
      </c>
      <c r="H378" s="33" t="s">
        <v>62</v>
      </c>
      <c r="I378" s="38">
        <v>330000</v>
      </c>
      <c r="J378" s="29" t="s">
        <v>56</v>
      </c>
      <c r="K378" s="15"/>
      <c r="L378" s="11"/>
    </row>
    <row r="379" spans="2:21" ht="18.75" x14ac:dyDescent="0.3">
      <c r="B379" s="26" t="s">
        <v>9</v>
      </c>
      <c r="C379" s="27" t="s">
        <v>4</v>
      </c>
      <c r="D379" s="27">
        <v>95</v>
      </c>
      <c r="E379" s="27"/>
      <c r="F379" s="27" t="s">
        <v>144</v>
      </c>
      <c r="G379" s="30">
        <v>1.0249999999999999</v>
      </c>
      <c r="H379" s="33" t="s">
        <v>62</v>
      </c>
      <c r="I379" s="38">
        <v>330000</v>
      </c>
      <c r="J379" s="29" t="s">
        <v>56</v>
      </c>
      <c r="K379" s="15"/>
      <c r="L379" s="11"/>
    </row>
    <row r="380" spans="2:21" s="77" customFormat="1" ht="18.75" x14ac:dyDescent="0.3">
      <c r="B380" s="66" t="s">
        <v>9</v>
      </c>
      <c r="C380" s="67" t="s">
        <v>4</v>
      </c>
      <c r="D380" s="67">
        <v>100</v>
      </c>
      <c r="E380" s="67"/>
      <c r="F380" s="67"/>
      <c r="G380" s="81">
        <v>0.95699999999999996</v>
      </c>
      <c r="H380" s="80" t="s">
        <v>211</v>
      </c>
      <c r="I380" s="70">
        <v>350000</v>
      </c>
      <c r="J380" s="71" t="s">
        <v>56</v>
      </c>
      <c r="K380" s="15"/>
      <c r="L380" s="8"/>
      <c r="M380" s="2"/>
      <c r="N380" s="2"/>
      <c r="O380" s="2"/>
      <c r="P380" s="2"/>
      <c r="Q380" s="2"/>
      <c r="R380" s="2"/>
      <c r="S380" s="2"/>
      <c r="T380" s="2"/>
      <c r="U380" s="2"/>
    </row>
    <row r="381" spans="2:21" ht="18.75" x14ac:dyDescent="0.3">
      <c r="B381" s="66" t="s">
        <v>9</v>
      </c>
      <c r="C381" s="67" t="s">
        <v>4</v>
      </c>
      <c r="D381" s="67">
        <v>100</v>
      </c>
      <c r="E381" s="67"/>
      <c r="F381" s="67" t="s">
        <v>229</v>
      </c>
      <c r="G381" s="81">
        <v>0.7</v>
      </c>
      <c r="H381" s="69" t="s">
        <v>58</v>
      </c>
      <c r="I381" s="70">
        <v>350000</v>
      </c>
      <c r="J381" s="71" t="s">
        <v>56</v>
      </c>
      <c r="K381" s="15"/>
      <c r="L381" s="11"/>
    </row>
    <row r="382" spans="2:21" ht="18.75" x14ac:dyDescent="0.3">
      <c r="B382" s="26" t="s">
        <v>9</v>
      </c>
      <c r="C382" s="27" t="s">
        <v>4</v>
      </c>
      <c r="D382" s="27">
        <v>110</v>
      </c>
      <c r="E382" s="27"/>
      <c r="F382" s="27" t="s">
        <v>215</v>
      </c>
      <c r="G382" s="30">
        <v>4.266</v>
      </c>
      <c r="H382" s="33" t="s">
        <v>199</v>
      </c>
      <c r="I382" s="38">
        <v>320000</v>
      </c>
      <c r="J382" s="29" t="s">
        <v>56</v>
      </c>
      <c r="K382" s="14"/>
      <c r="L382" s="11"/>
    </row>
    <row r="383" spans="2:21" ht="18.75" x14ac:dyDescent="0.3">
      <c r="B383" s="26" t="s">
        <v>9</v>
      </c>
      <c r="C383" s="27" t="s">
        <v>4</v>
      </c>
      <c r="D383" s="27">
        <v>110</v>
      </c>
      <c r="E383" s="27"/>
      <c r="F383" s="27" t="s">
        <v>215</v>
      </c>
      <c r="G383" s="30">
        <v>11.013999999999999</v>
      </c>
      <c r="H383" s="33" t="s">
        <v>211</v>
      </c>
      <c r="I383" s="38">
        <v>320000</v>
      </c>
      <c r="J383" s="29" t="s">
        <v>56</v>
      </c>
      <c r="K383" s="14"/>
      <c r="L383" s="30"/>
    </row>
    <row r="384" spans="2:21" s="72" customFormat="1" ht="18.75" x14ac:dyDescent="0.3">
      <c r="B384" s="66" t="s">
        <v>9</v>
      </c>
      <c r="C384" s="67" t="s">
        <v>4</v>
      </c>
      <c r="D384" s="67">
        <v>110</v>
      </c>
      <c r="E384" s="67"/>
      <c r="F384" s="67"/>
      <c r="G384" s="81">
        <v>4.6310000000000002</v>
      </c>
      <c r="H384" s="69" t="s">
        <v>262</v>
      </c>
      <c r="I384" s="70">
        <v>340000</v>
      </c>
      <c r="J384" s="71" t="s">
        <v>56</v>
      </c>
      <c r="K384" s="14"/>
      <c r="L384" s="30"/>
      <c r="M384" s="1"/>
      <c r="N384" s="1"/>
      <c r="O384" s="1"/>
      <c r="P384" s="1"/>
      <c r="Q384" s="1"/>
      <c r="R384" s="1"/>
      <c r="S384" s="1"/>
      <c r="T384" s="1"/>
      <c r="U384" s="1"/>
    </row>
    <row r="385" spans="2:21" s="72" customFormat="1" ht="18.75" x14ac:dyDescent="0.3">
      <c r="B385" s="26" t="s">
        <v>9</v>
      </c>
      <c r="C385" s="27" t="s">
        <v>4</v>
      </c>
      <c r="D385" s="27">
        <v>115</v>
      </c>
      <c r="E385" s="27"/>
      <c r="F385" s="27"/>
      <c r="G385" s="30">
        <v>0.57899999999999996</v>
      </c>
      <c r="H385" s="33" t="s">
        <v>62</v>
      </c>
      <c r="I385" s="38">
        <v>270000</v>
      </c>
      <c r="J385" s="29" t="s">
        <v>56</v>
      </c>
      <c r="K385" s="14"/>
      <c r="L385" s="30"/>
      <c r="M385" s="1"/>
      <c r="N385" s="1"/>
      <c r="O385" s="1"/>
      <c r="P385" s="1"/>
      <c r="Q385" s="1"/>
      <c r="R385" s="1"/>
      <c r="S385" s="1"/>
      <c r="T385" s="1"/>
      <c r="U385" s="1"/>
    </row>
    <row r="386" spans="2:21" ht="18.75" x14ac:dyDescent="0.3">
      <c r="B386" s="26" t="s">
        <v>9</v>
      </c>
      <c r="C386" s="27" t="s">
        <v>4</v>
      </c>
      <c r="D386" s="27">
        <v>120</v>
      </c>
      <c r="E386" s="27"/>
      <c r="F386" s="27" t="s">
        <v>206</v>
      </c>
      <c r="G386" s="30">
        <v>0.111</v>
      </c>
      <c r="H386" s="33" t="s">
        <v>62</v>
      </c>
      <c r="I386" s="38">
        <v>320000</v>
      </c>
      <c r="J386" s="29" t="s">
        <v>56</v>
      </c>
      <c r="K386" s="14"/>
      <c r="L386" s="81"/>
    </row>
    <row r="387" spans="2:21" ht="18.75" x14ac:dyDescent="0.3">
      <c r="B387" s="26" t="s">
        <v>9</v>
      </c>
      <c r="C387" s="27" t="s">
        <v>4</v>
      </c>
      <c r="D387" s="27">
        <v>120</v>
      </c>
      <c r="E387" s="27"/>
      <c r="F387" s="27" t="s">
        <v>212</v>
      </c>
      <c r="G387" s="30">
        <v>5.6349999999999998</v>
      </c>
      <c r="H387" s="33" t="s">
        <v>211</v>
      </c>
      <c r="I387" s="38">
        <v>320000</v>
      </c>
      <c r="J387" s="29" t="s">
        <v>56</v>
      </c>
      <c r="K387" s="14"/>
      <c r="L387" s="30"/>
    </row>
    <row r="388" spans="2:21" s="72" customFormat="1" ht="18.75" x14ac:dyDescent="0.3">
      <c r="B388" s="66" t="s">
        <v>9</v>
      </c>
      <c r="C388" s="67" t="s">
        <v>4</v>
      </c>
      <c r="D388" s="67">
        <v>120</v>
      </c>
      <c r="E388" s="67"/>
      <c r="F388" s="67" t="s">
        <v>258</v>
      </c>
      <c r="G388" s="81">
        <v>2.85</v>
      </c>
      <c r="H388" s="69" t="s">
        <v>211</v>
      </c>
      <c r="I388" s="70">
        <v>340000</v>
      </c>
      <c r="J388" s="71" t="s">
        <v>56</v>
      </c>
      <c r="K388" s="14"/>
      <c r="L388" s="135"/>
      <c r="M388" s="1"/>
      <c r="N388" s="1"/>
      <c r="O388" s="1"/>
      <c r="P388" s="1"/>
      <c r="Q388" s="1"/>
      <c r="R388" s="1"/>
      <c r="S388" s="1"/>
      <c r="T388" s="1"/>
      <c r="U388" s="1"/>
    </row>
    <row r="389" spans="2:21" ht="18.75" x14ac:dyDescent="0.3">
      <c r="B389" s="26" t="s">
        <v>9</v>
      </c>
      <c r="C389" s="27" t="s">
        <v>4</v>
      </c>
      <c r="D389" s="27">
        <v>130</v>
      </c>
      <c r="E389" s="27"/>
      <c r="F389" s="27" t="s">
        <v>153</v>
      </c>
      <c r="G389" s="30">
        <v>0.75900000000000001</v>
      </c>
      <c r="H389" s="33" t="s">
        <v>58</v>
      </c>
      <c r="I389" s="38">
        <v>320000</v>
      </c>
      <c r="J389" s="29" t="s">
        <v>56</v>
      </c>
      <c r="K389" s="14"/>
      <c r="L389" s="11"/>
    </row>
    <row r="390" spans="2:21" ht="18.75" x14ac:dyDescent="0.3">
      <c r="B390" s="26" t="s">
        <v>9</v>
      </c>
      <c r="C390" s="27" t="s">
        <v>4</v>
      </c>
      <c r="D390" s="27">
        <v>130</v>
      </c>
      <c r="E390" s="27"/>
      <c r="F390" s="27" t="s">
        <v>220</v>
      </c>
      <c r="G390" s="30">
        <v>4.2069999999999999</v>
      </c>
      <c r="H390" s="33" t="s">
        <v>211</v>
      </c>
      <c r="I390" s="38">
        <v>320000</v>
      </c>
      <c r="J390" s="29" t="s">
        <v>56</v>
      </c>
      <c r="K390" s="14"/>
      <c r="L390" s="11"/>
    </row>
    <row r="391" spans="2:21" s="72" customFormat="1" ht="18.75" x14ac:dyDescent="0.3">
      <c r="B391" s="66" t="s">
        <v>9</v>
      </c>
      <c r="C391" s="67" t="s">
        <v>4</v>
      </c>
      <c r="D391" s="67">
        <v>130</v>
      </c>
      <c r="E391" s="67"/>
      <c r="F391" s="67" t="s">
        <v>220</v>
      </c>
      <c r="G391" s="81">
        <v>7.3789999999999996</v>
      </c>
      <c r="H391" s="69" t="s">
        <v>211</v>
      </c>
      <c r="I391" s="70">
        <v>340000</v>
      </c>
      <c r="J391" s="71" t="s">
        <v>56</v>
      </c>
      <c r="K391" s="14"/>
      <c r="L391" s="11"/>
      <c r="M391" s="1"/>
      <c r="N391" s="1"/>
      <c r="O391" s="1"/>
      <c r="P391" s="1"/>
      <c r="Q391" s="1"/>
      <c r="R391" s="1"/>
      <c r="S391" s="1"/>
      <c r="T391" s="1"/>
      <c r="U391" s="1"/>
    </row>
    <row r="392" spans="2:21" ht="18.75" x14ac:dyDescent="0.3">
      <c r="B392" s="26" t="s">
        <v>9</v>
      </c>
      <c r="C392" s="27" t="s">
        <v>4</v>
      </c>
      <c r="D392" s="27">
        <v>130</v>
      </c>
      <c r="E392" s="27"/>
      <c r="F392" s="27"/>
      <c r="G392" s="30">
        <v>3.5880000000000001</v>
      </c>
      <c r="H392" s="33" t="s">
        <v>199</v>
      </c>
      <c r="I392" s="38">
        <v>320000</v>
      </c>
      <c r="J392" s="29" t="s">
        <v>56</v>
      </c>
      <c r="K392" s="14"/>
      <c r="L392" s="11"/>
    </row>
    <row r="393" spans="2:21" s="72" customFormat="1" ht="18.75" x14ac:dyDescent="0.3">
      <c r="B393" s="66" t="s">
        <v>9</v>
      </c>
      <c r="C393" s="67" t="s">
        <v>4</v>
      </c>
      <c r="D393" s="67">
        <v>140</v>
      </c>
      <c r="E393" s="67"/>
      <c r="F393" s="67" t="s">
        <v>253</v>
      </c>
      <c r="G393" s="81">
        <v>5.5960000000000001</v>
      </c>
      <c r="H393" s="69" t="s">
        <v>211</v>
      </c>
      <c r="I393" s="70">
        <v>350000</v>
      </c>
      <c r="J393" s="71" t="s">
        <v>56</v>
      </c>
      <c r="K393" s="14"/>
      <c r="L393" s="11"/>
      <c r="M393" s="1"/>
      <c r="N393" s="1"/>
      <c r="O393" s="1"/>
      <c r="P393" s="1"/>
      <c r="Q393" s="1"/>
      <c r="R393" s="1"/>
      <c r="S393" s="1"/>
      <c r="T393" s="1"/>
      <c r="U393" s="1"/>
    </row>
    <row r="394" spans="2:21" ht="18.75" x14ac:dyDescent="0.3">
      <c r="B394" s="66" t="s">
        <v>9</v>
      </c>
      <c r="C394" s="67" t="s">
        <v>4</v>
      </c>
      <c r="D394" s="67">
        <v>140</v>
      </c>
      <c r="E394" s="67"/>
      <c r="F394" s="67"/>
      <c r="G394" s="81">
        <v>0.752</v>
      </c>
      <c r="H394" s="69" t="s">
        <v>199</v>
      </c>
      <c r="I394" s="70">
        <v>330000</v>
      </c>
      <c r="J394" s="71" t="s">
        <v>56</v>
      </c>
      <c r="K394" s="14"/>
      <c r="L394" s="11"/>
    </row>
    <row r="395" spans="2:21" ht="18.75" x14ac:dyDescent="0.3">
      <c r="B395" s="26" t="s">
        <v>9</v>
      </c>
      <c r="C395" s="27" t="s">
        <v>4</v>
      </c>
      <c r="D395" s="27">
        <v>150</v>
      </c>
      <c r="E395" s="27"/>
      <c r="F395" s="27" t="s">
        <v>155</v>
      </c>
      <c r="G395" s="30">
        <v>0.182</v>
      </c>
      <c r="H395" s="33" t="s">
        <v>58</v>
      </c>
      <c r="I395" s="38">
        <v>330000</v>
      </c>
      <c r="J395" s="29" t="s">
        <v>56</v>
      </c>
      <c r="K395" s="12"/>
      <c r="L395" s="11"/>
    </row>
    <row r="396" spans="2:21" ht="18.75" x14ac:dyDescent="0.3">
      <c r="B396" s="26" t="s">
        <v>9</v>
      </c>
      <c r="C396" s="27" t="s">
        <v>4</v>
      </c>
      <c r="D396" s="27">
        <v>150</v>
      </c>
      <c r="E396" s="27"/>
      <c r="F396" s="27" t="s">
        <v>318</v>
      </c>
      <c r="G396" s="30">
        <v>3.895</v>
      </c>
      <c r="H396" s="33" t="s">
        <v>58</v>
      </c>
      <c r="I396" s="38">
        <v>330000</v>
      </c>
      <c r="J396" s="29" t="s">
        <v>56</v>
      </c>
      <c r="K396" s="14"/>
      <c r="L396" s="11"/>
    </row>
    <row r="397" spans="2:21" ht="18.75" x14ac:dyDescent="0.3">
      <c r="B397" s="26" t="s">
        <v>9</v>
      </c>
      <c r="C397" s="27" t="s">
        <v>4</v>
      </c>
      <c r="D397" s="27">
        <v>155</v>
      </c>
      <c r="E397" s="27"/>
      <c r="F397" s="27" t="s">
        <v>119</v>
      </c>
      <c r="G397" s="30">
        <v>0.32500000000000001</v>
      </c>
      <c r="H397" s="33" t="s">
        <v>62</v>
      </c>
      <c r="I397" s="38">
        <v>330000</v>
      </c>
      <c r="J397" s="29" t="s">
        <v>56</v>
      </c>
      <c r="K397" s="14"/>
      <c r="L397" s="11"/>
    </row>
    <row r="398" spans="2:21" s="72" customFormat="1" ht="18.75" x14ac:dyDescent="0.3">
      <c r="B398" s="66" t="s">
        <v>9</v>
      </c>
      <c r="C398" s="67" t="s">
        <v>4</v>
      </c>
      <c r="D398" s="67">
        <v>160</v>
      </c>
      <c r="E398" s="67"/>
      <c r="F398" s="67" t="s">
        <v>230</v>
      </c>
      <c r="G398" s="68">
        <v>0.13400000000000001</v>
      </c>
      <c r="H398" s="69" t="s">
        <v>62</v>
      </c>
      <c r="I398" s="70">
        <v>350000</v>
      </c>
      <c r="J398" s="71" t="s">
        <v>56</v>
      </c>
      <c r="K398" s="14"/>
      <c r="L398" s="11"/>
      <c r="M398" s="1"/>
      <c r="N398" s="1"/>
      <c r="O398" s="1"/>
      <c r="P398" s="1"/>
      <c r="Q398" s="1"/>
      <c r="R398" s="1"/>
      <c r="S398" s="1"/>
      <c r="T398" s="1"/>
      <c r="U398" s="1"/>
    </row>
    <row r="399" spans="2:21" ht="18.75" x14ac:dyDescent="0.3">
      <c r="B399" s="26" t="s">
        <v>9</v>
      </c>
      <c r="C399" s="27" t="s">
        <v>4</v>
      </c>
      <c r="D399" s="27">
        <v>160</v>
      </c>
      <c r="E399" s="27"/>
      <c r="F399" s="27" t="s">
        <v>385</v>
      </c>
      <c r="G399" s="134">
        <v>0.59199999999999997</v>
      </c>
      <c r="H399" s="33" t="s">
        <v>62</v>
      </c>
      <c r="I399" s="38">
        <v>270000</v>
      </c>
      <c r="J399" s="29" t="s">
        <v>56</v>
      </c>
      <c r="K399" s="14"/>
      <c r="L399" s="11"/>
    </row>
    <row r="400" spans="2:21" ht="18.75" x14ac:dyDescent="0.3">
      <c r="B400" s="26" t="s">
        <v>9</v>
      </c>
      <c r="C400" s="27" t="s">
        <v>4</v>
      </c>
      <c r="D400" s="27">
        <v>180</v>
      </c>
      <c r="E400" s="27"/>
      <c r="F400" s="27" t="s">
        <v>133</v>
      </c>
      <c r="G400" s="30">
        <v>1.6890000000000001</v>
      </c>
      <c r="H400" s="33" t="s">
        <v>62</v>
      </c>
      <c r="I400" s="38">
        <v>330000</v>
      </c>
      <c r="J400" s="29" t="s">
        <v>56</v>
      </c>
      <c r="K400" s="14"/>
      <c r="L400" s="11"/>
    </row>
    <row r="401" spans="2:21" s="72" customFormat="1" ht="18.75" x14ac:dyDescent="0.3">
      <c r="B401" s="66" t="s">
        <v>9</v>
      </c>
      <c r="C401" s="67" t="s">
        <v>4</v>
      </c>
      <c r="D401" s="67">
        <v>180</v>
      </c>
      <c r="E401" s="67"/>
      <c r="F401" s="67" t="s">
        <v>251</v>
      </c>
      <c r="G401" s="68">
        <v>0.24099999999999999</v>
      </c>
      <c r="H401" s="69" t="s">
        <v>211</v>
      </c>
      <c r="I401" s="70">
        <v>350000</v>
      </c>
      <c r="J401" s="71" t="s">
        <v>56</v>
      </c>
      <c r="K401" s="14"/>
      <c r="L401" s="11"/>
      <c r="M401" s="1"/>
      <c r="N401" s="1"/>
      <c r="O401" s="1"/>
      <c r="P401" s="1"/>
      <c r="Q401" s="1"/>
      <c r="R401" s="1"/>
      <c r="S401" s="1"/>
      <c r="T401" s="1"/>
      <c r="U401" s="1"/>
    </row>
    <row r="402" spans="2:21" ht="21.75" customHeight="1" x14ac:dyDescent="0.3">
      <c r="B402" s="26" t="s">
        <v>9</v>
      </c>
      <c r="C402" s="27" t="s">
        <v>4</v>
      </c>
      <c r="D402" s="27">
        <v>190</v>
      </c>
      <c r="E402" s="27"/>
      <c r="F402" s="27" t="s">
        <v>215</v>
      </c>
      <c r="G402" s="30">
        <v>2.0099999999999998</v>
      </c>
      <c r="H402" s="33" t="s">
        <v>211</v>
      </c>
      <c r="I402" s="38">
        <v>330000</v>
      </c>
      <c r="J402" s="29" t="s">
        <v>56</v>
      </c>
      <c r="K402" s="14"/>
      <c r="L402" s="11"/>
    </row>
    <row r="403" spans="2:21" s="72" customFormat="1" ht="21.75" customHeight="1" x14ac:dyDescent="0.3">
      <c r="B403" s="66" t="s">
        <v>9</v>
      </c>
      <c r="C403" s="67" t="s">
        <v>4</v>
      </c>
      <c r="D403" s="67">
        <v>190</v>
      </c>
      <c r="E403" s="67"/>
      <c r="F403" s="67" t="s">
        <v>258</v>
      </c>
      <c r="G403" s="68">
        <v>1.4339999999999999</v>
      </c>
      <c r="H403" s="69" t="s">
        <v>211</v>
      </c>
      <c r="I403" s="70">
        <v>350000</v>
      </c>
      <c r="J403" s="71" t="s">
        <v>56</v>
      </c>
      <c r="K403" s="14"/>
      <c r="L403" s="11"/>
      <c r="M403" s="1"/>
      <c r="N403" s="1"/>
      <c r="O403" s="1"/>
      <c r="P403" s="1"/>
      <c r="Q403" s="1"/>
      <c r="R403" s="1"/>
      <c r="S403" s="1"/>
      <c r="T403" s="1"/>
      <c r="U403" s="1"/>
    </row>
    <row r="404" spans="2:21" ht="18.75" x14ac:dyDescent="0.3">
      <c r="B404" s="26" t="s">
        <v>9</v>
      </c>
      <c r="C404" s="27" t="s">
        <v>4</v>
      </c>
      <c r="D404" s="27">
        <v>210</v>
      </c>
      <c r="E404" s="27"/>
      <c r="F404" s="27" t="s">
        <v>234</v>
      </c>
      <c r="G404" s="30">
        <v>3.1880000000000002</v>
      </c>
      <c r="H404" s="33" t="s">
        <v>62</v>
      </c>
      <c r="I404" s="38">
        <v>330000</v>
      </c>
      <c r="J404" s="29" t="s">
        <v>56</v>
      </c>
      <c r="K404" s="12"/>
      <c r="L404" s="11"/>
    </row>
    <row r="405" spans="2:21" ht="18.75" x14ac:dyDescent="0.3">
      <c r="B405" s="26" t="s">
        <v>9</v>
      </c>
      <c r="C405" s="27" t="s">
        <v>4</v>
      </c>
      <c r="D405" s="27">
        <v>230</v>
      </c>
      <c r="E405" s="27"/>
      <c r="F405" s="27" t="s">
        <v>153</v>
      </c>
      <c r="G405" s="30">
        <v>4.9340000000000002</v>
      </c>
      <c r="H405" s="33" t="s">
        <v>339</v>
      </c>
      <c r="I405" s="38">
        <v>330000</v>
      </c>
      <c r="J405" s="29" t="s">
        <v>56</v>
      </c>
      <c r="K405" s="13"/>
      <c r="L405" s="11"/>
    </row>
    <row r="406" spans="2:21" ht="18.75" x14ac:dyDescent="0.3">
      <c r="B406" s="26" t="s">
        <v>9</v>
      </c>
      <c r="C406" s="27" t="s">
        <v>4</v>
      </c>
      <c r="D406" s="27">
        <v>240</v>
      </c>
      <c r="E406" s="27"/>
      <c r="F406" s="27" t="s">
        <v>187</v>
      </c>
      <c r="G406" s="30">
        <v>0.73599999999999999</v>
      </c>
      <c r="H406" s="33" t="s">
        <v>58</v>
      </c>
      <c r="I406" s="38">
        <v>330000</v>
      </c>
      <c r="J406" s="29" t="s">
        <v>56</v>
      </c>
      <c r="K406" s="13"/>
      <c r="L406" s="11"/>
    </row>
    <row r="407" spans="2:21" ht="18.75" x14ac:dyDescent="0.3">
      <c r="B407" s="26" t="s">
        <v>9</v>
      </c>
      <c r="C407" s="27" t="s">
        <v>4</v>
      </c>
      <c r="D407" s="27">
        <v>240</v>
      </c>
      <c r="E407" s="27"/>
      <c r="F407" s="27" t="s">
        <v>227</v>
      </c>
      <c r="G407" s="30">
        <v>8.4779999999999998</v>
      </c>
      <c r="H407" s="33" t="s">
        <v>62</v>
      </c>
      <c r="I407" s="38">
        <v>330000</v>
      </c>
      <c r="J407" s="29" t="s">
        <v>56</v>
      </c>
      <c r="K407" s="13"/>
      <c r="L407" s="11"/>
      <c r="O407" s="1" t="s">
        <v>6</v>
      </c>
    </row>
    <row r="408" spans="2:21" ht="18.75" x14ac:dyDescent="0.3">
      <c r="B408" s="26" t="s">
        <v>9</v>
      </c>
      <c r="C408" s="27" t="s">
        <v>4</v>
      </c>
      <c r="D408" s="27">
        <v>250</v>
      </c>
      <c r="E408" s="27"/>
      <c r="F408" s="27" t="s">
        <v>237</v>
      </c>
      <c r="G408" s="30">
        <v>7.8449999999999998</v>
      </c>
      <c r="H408" s="33" t="s">
        <v>263</v>
      </c>
      <c r="I408" s="38">
        <v>330000</v>
      </c>
      <c r="J408" s="29" t="s">
        <v>56</v>
      </c>
      <c r="K408" s="13"/>
      <c r="L408" s="11"/>
    </row>
    <row r="409" spans="2:21" ht="18.75" x14ac:dyDescent="0.3">
      <c r="B409" s="26" t="s">
        <v>9</v>
      </c>
      <c r="C409" s="27" t="s">
        <v>4</v>
      </c>
      <c r="D409" s="27">
        <v>260</v>
      </c>
      <c r="E409" s="27"/>
      <c r="F409" s="27" t="s">
        <v>234</v>
      </c>
      <c r="G409" s="30">
        <v>0.13200000000000001</v>
      </c>
      <c r="H409" s="33" t="s">
        <v>62</v>
      </c>
      <c r="I409" s="38">
        <v>340000</v>
      </c>
      <c r="J409" s="29" t="s">
        <v>56</v>
      </c>
      <c r="K409" s="13"/>
      <c r="L409" s="11"/>
    </row>
    <row r="410" spans="2:21" ht="18.75" x14ac:dyDescent="0.3">
      <c r="B410" s="26" t="s">
        <v>9</v>
      </c>
      <c r="C410" s="27" t="s">
        <v>4</v>
      </c>
      <c r="D410" s="27">
        <v>280</v>
      </c>
      <c r="E410" s="27"/>
      <c r="F410" s="27" t="s">
        <v>252</v>
      </c>
      <c r="G410" s="30">
        <v>1.339</v>
      </c>
      <c r="H410" s="33" t="s">
        <v>62</v>
      </c>
      <c r="I410" s="38">
        <v>340000</v>
      </c>
      <c r="J410" s="29" t="s">
        <v>56</v>
      </c>
      <c r="K410" s="12"/>
      <c r="L410" s="11"/>
    </row>
    <row r="411" spans="2:21" ht="18.75" x14ac:dyDescent="0.3">
      <c r="B411" s="26" t="s">
        <v>9</v>
      </c>
      <c r="C411" s="27" t="s">
        <v>4</v>
      </c>
      <c r="D411" s="27">
        <v>290</v>
      </c>
      <c r="E411" s="27"/>
      <c r="F411" s="27" t="s">
        <v>232</v>
      </c>
      <c r="G411" s="30">
        <v>3.7719999999999998</v>
      </c>
      <c r="H411" s="33" t="s">
        <v>62</v>
      </c>
      <c r="I411" s="38">
        <v>340000</v>
      </c>
      <c r="J411" s="29" t="s">
        <v>56</v>
      </c>
      <c r="K411" s="13"/>
      <c r="L411" s="11"/>
    </row>
    <row r="412" spans="2:21" ht="18.75" x14ac:dyDescent="0.3">
      <c r="B412" s="26" t="s">
        <v>9</v>
      </c>
      <c r="C412" s="27" t="s">
        <v>4</v>
      </c>
      <c r="D412" s="27">
        <v>300</v>
      </c>
      <c r="E412" s="27"/>
      <c r="F412" s="27" t="s">
        <v>232</v>
      </c>
      <c r="G412" s="30">
        <v>3.4540000000000002</v>
      </c>
      <c r="H412" s="33" t="s">
        <v>62</v>
      </c>
      <c r="I412" s="38">
        <v>360000</v>
      </c>
      <c r="J412" s="29" t="s">
        <v>56</v>
      </c>
      <c r="K412" s="13"/>
      <c r="L412" s="11"/>
    </row>
    <row r="413" spans="2:21" ht="18.75" x14ac:dyDescent="0.3">
      <c r="B413" s="26" t="s">
        <v>30</v>
      </c>
      <c r="C413" s="27" t="s">
        <v>4</v>
      </c>
      <c r="D413" s="27">
        <v>300</v>
      </c>
      <c r="E413" s="26">
        <v>0.48</v>
      </c>
      <c r="F413" s="27"/>
      <c r="G413" s="30">
        <v>0.26200000000000001</v>
      </c>
      <c r="H413" s="33" t="s">
        <v>216</v>
      </c>
      <c r="I413" s="38">
        <v>360000</v>
      </c>
      <c r="J413" s="29" t="s">
        <v>56</v>
      </c>
      <c r="K413" s="13"/>
      <c r="L413" s="11"/>
    </row>
    <row r="414" spans="2:21" ht="18.75" x14ac:dyDescent="0.3">
      <c r="B414" s="26" t="s">
        <v>9</v>
      </c>
      <c r="C414" s="27" t="s">
        <v>4</v>
      </c>
      <c r="D414" s="27">
        <v>320</v>
      </c>
      <c r="E414" s="26">
        <v>0.73</v>
      </c>
      <c r="F414" s="27" t="s">
        <v>217</v>
      </c>
      <c r="G414" s="30">
        <v>0.46500000000000002</v>
      </c>
      <c r="H414" s="33" t="s">
        <v>62</v>
      </c>
      <c r="I414" s="38">
        <v>380000</v>
      </c>
      <c r="J414" s="29" t="s">
        <v>56</v>
      </c>
      <c r="K414" s="13"/>
      <c r="L414" s="11"/>
    </row>
    <row r="415" spans="2:21" ht="18.75" x14ac:dyDescent="0.3">
      <c r="B415" s="26" t="s">
        <v>9</v>
      </c>
      <c r="C415" s="27" t="s">
        <v>4</v>
      </c>
      <c r="D415" s="27">
        <v>320</v>
      </c>
      <c r="E415" s="27"/>
      <c r="F415" s="27" t="s">
        <v>235</v>
      </c>
      <c r="G415" s="30">
        <v>8.641</v>
      </c>
      <c r="H415" s="33" t="s">
        <v>62</v>
      </c>
      <c r="I415" s="38">
        <v>380000</v>
      </c>
      <c r="J415" s="29" t="s">
        <v>56</v>
      </c>
      <c r="K415" s="13"/>
      <c r="L415" s="11"/>
    </row>
    <row r="416" spans="2:21" ht="18.75" x14ac:dyDescent="0.3">
      <c r="B416" s="26" t="s">
        <v>30</v>
      </c>
      <c r="C416" s="27" t="s">
        <v>4</v>
      </c>
      <c r="D416" s="27">
        <v>340</v>
      </c>
      <c r="E416" s="26" t="s">
        <v>371</v>
      </c>
      <c r="F416" s="27" t="s">
        <v>249</v>
      </c>
      <c r="G416" s="30">
        <v>1.8</v>
      </c>
      <c r="H416" s="33" t="s">
        <v>248</v>
      </c>
      <c r="I416" s="39">
        <v>530000</v>
      </c>
      <c r="J416" s="29" t="s">
        <v>56</v>
      </c>
      <c r="K416" s="13"/>
      <c r="L416" s="11"/>
    </row>
    <row r="417" spans="2:21" ht="18.75" x14ac:dyDescent="0.3">
      <c r="B417" s="26" t="s">
        <v>30</v>
      </c>
      <c r="C417" s="27" t="s">
        <v>4</v>
      </c>
      <c r="D417" s="27">
        <v>360</v>
      </c>
      <c r="E417" s="26" t="s">
        <v>372</v>
      </c>
      <c r="F417" s="27" t="s">
        <v>249</v>
      </c>
      <c r="G417" s="30">
        <v>5.0730000000000004</v>
      </c>
      <c r="H417" s="33" t="s">
        <v>248</v>
      </c>
      <c r="I417" s="39">
        <v>530000</v>
      </c>
      <c r="J417" s="29" t="s">
        <v>56</v>
      </c>
      <c r="K417" s="13"/>
      <c r="L417" s="11"/>
    </row>
    <row r="418" spans="2:21" ht="18.75" x14ac:dyDescent="0.3">
      <c r="B418" s="26" t="s">
        <v>30</v>
      </c>
      <c r="C418" s="17" t="s">
        <v>4</v>
      </c>
      <c r="D418" s="17">
        <v>420</v>
      </c>
      <c r="E418" s="1" t="s">
        <v>373</v>
      </c>
      <c r="F418" s="27" t="s">
        <v>132</v>
      </c>
      <c r="G418" s="20">
        <v>3.5529999999999999</v>
      </c>
      <c r="H418" s="33" t="s">
        <v>63</v>
      </c>
      <c r="I418" s="39">
        <v>500000</v>
      </c>
      <c r="J418" s="29" t="s">
        <v>56</v>
      </c>
      <c r="K418" s="47"/>
      <c r="L418" s="11"/>
    </row>
    <row r="419" spans="2:21" ht="18.75" x14ac:dyDescent="0.3">
      <c r="B419" s="26" t="s">
        <v>10</v>
      </c>
      <c r="C419" s="17" t="s">
        <v>4</v>
      </c>
      <c r="D419" s="27" t="s">
        <v>404</v>
      </c>
      <c r="E419" s="27">
        <v>6.76</v>
      </c>
      <c r="F419" s="27" t="s">
        <v>275</v>
      </c>
      <c r="G419" s="30">
        <v>1.421</v>
      </c>
      <c r="H419" s="33"/>
      <c r="I419" s="38">
        <v>350000</v>
      </c>
      <c r="J419" s="51" t="s">
        <v>56</v>
      </c>
      <c r="K419" s="13"/>
      <c r="L419" s="11"/>
    </row>
    <row r="420" spans="2:21" ht="18.75" x14ac:dyDescent="0.3">
      <c r="B420" s="26" t="s">
        <v>10</v>
      </c>
      <c r="C420" s="17" t="s">
        <v>4</v>
      </c>
      <c r="D420" s="27" t="s">
        <v>22</v>
      </c>
      <c r="E420" s="27" t="s">
        <v>403</v>
      </c>
      <c r="F420" s="27" t="s">
        <v>275</v>
      </c>
      <c r="G420" s="30">
        <v>2.3769999999999998</v>
      </c>
      <c r="H420" s="33"/>
      <c r="I420" s="38">
        <v>350000</v>
      </c>
      <c r="J420" s="51" t="s">
        <v>56</v>
      </c>
      <c r="K420" s="13"/>
      <c r="L420" s="11"/>
    </row>
    <row r="421" spans="2:21" ht="18.75" x14ac:dyDescent="0.3">
      <c r="B421" s="26" t="s">
        <v>10</v>
      </c>
      <c r="C421" s="17" t="s">
        <v>4</v>
      </c>
      <c r="D421" s="17" t="s">
        <v>136</v>
      </c>
      <c r="E421" s="17"/>
      <c r="F421" s="27"/>
      <c r="G421" s="20">
        <v>2.2549999999999999</v>
      </c>
      <c r="H421" s="33"/>
      <c r="I421" s="39">
        <v>250000</v>
      </c>
      <c r="J421" s="29" t="s">
        <v>56</v>
      </c>
      <c r="K421" s="13"/>
      <c r="L421" s="11"/>
    </row>
    <row r="422" spans="2:21" ht="18.75" x14ac:dyDescent="0.3">
      <c r="B422" s="26" t="s">
        <v>9</v>
      </c>
      <c r="C422" s="27" t="s">
        <v>16</v>
      </c>
      <c r="D422" s="27">
        <v>34</v>
      </c>
      <c r="E422" s="27"/>
      <c r="F422" s="27" t="s">
        <v>150</v>
      </c>
      <c r="G422" s="30">
        <v>0.64200000000000002</v>
      </c>
      <c r="H422" s="33" t="s">
        <v>60</v>
      </c>
      <c r="I422" s="38">
        <v>280000</v>
      </c>
      <c r="J422" s="29" t="s">
        <v>56</v>
      </c>
      <c r="K422" s="56"/>
      <c r="L422" s="11"/>
    </row>
    <row r="423" spans="2:21" ht="18.75" x14ac:dyDescent="0.3">
      <c r="B423" s="26" t="s">
        <v>9</v>
      </c>
      <c r="C423" s="27" t="s">
        <v>16</v>
      </c>
      <c r="D423" s="27">
        <v>45</v>
      </c>
      <c r="E423" s="27"/>
      <c r="F423" s="27" t="s">
        <v>150</v>
      </c>
      <c r="G423" s="30">
        <v>0.27300000000000002</v>
      </c>
      <c r="H423" s="33" t="s">
        <v>60</v>
      </c>
      <c r="I423" s="38">
        <v>280000</v>
      </c>
      <c r="J423" s="29" t="s">
        <v>56</v>
      </c>
      <c r="K423" s="56"/>
      <c r="L423" s="11"/>
    </row>
    <row r="424" spans="2:21" s="72" customFormat="1" ht="18.75" x14ac:dyDescent="0.3">
      <c r="B424" s="66" t="s">
        <v>9</v>
      </c>
      <c r="C424" s="67" t="s">
        <v>16</v>
      </c>
      <c r="D424" s="67">
        <v>60</v>
      </c>
      <c r="E424" s="67"/>
      <c r="F424" s="67" t="s">
        <v>203</v>
      </c>
      <c r="G424" s="81">
        <v>35.465000000000003</v>
      </c>
      <c r="H424" s="69" t="s">
        <v>62</v>
      </c>
      <c r="I424" s="70">
        <v>250000</v>
      </c>
      <c r="J424" s="71" t="s">
        <v>56</v>
      </c>
      <c r="K424" s="56"/>
      <c r="L424" s="11"/>
      <c r="M424" s="1"/>
      <c r="N424" s="1"/>
      <c r="O424" s="1"/>
      <c r="P424" s="1"/>
      <c r="Q424" s="1"/>
      <c r="R424" s="1"/>
      <c r="S424" s="1"/>
      <c r="T424" s="1"/>
      <c r="U424" s="1"/>
    </row>
    <row r="425" spans="2:21" s="72" customFormat="1" ht="18.75" x14ac:dyDescent="0.3">
      <c r="B425" s="66" t="s">
        <v>9</v>
      </c>
      <c r="C425" s="67" t="s">
        <v>16</v>
      </c>
      <c r="D425" s="67">
        <v>70</v>
      </c>
      <c r="E425" s="67"/>
      <c r="F425" s="67" t="s">
        <v>241</v>
      </c>
      <c r="G425" s="81">
        <v>5.5289999999999999</v>
      </c>
      <c r="H425" s="69" t="s">
        <v>62</v>
      </c>
      <c r="I425" s="70">
        <v>270000</v>
      </c>
      <c r="J425" s="71" t="s">
        <v>56</v>
      </c>
      <c r="K425" s="56"/>
      <c r="L425" s="11"/>
      <c r="M425" s="1"/>
      <c r="N425" s="1"/>
      <c r="O425" s="1"/>
      <c r="P425" s="1"/>
      <c r="Q425" s="1"/>
      <c r="R425" s="1"/>
      <c r="S425" s="1"/>
      <c r="T425" s="1"/>
      <c r="U425" s="1"/>
    </row>
    <row r="426" spans="2:21" s="72" customFormat="1" ht="18.75" x14ac:dyDescent="0.3">
      <c r="B426" s="66" t="s">
        <v>9</v>
      </c>
      <c r="C426" s="67" t="s">
        <v>16</v>
      </c>
      <c r="D426" s="67">
        <v>80</v>
      </c>
      <c r="E426" s="67"/>
      <c r="F426" s="67" t="s">
        <v>241</v>
      </c>
      <c r="G426" s="81">
        <v>19.690999999999999</v>
      </c>
      <c r="H426" s="69" t="s">
        <v>62</v>
      </c>
      <c r="I426" s="70">
        <v>250000</v>
      </c>
      <c r="J426" s="71" t="s">
        <v>56</v>
      </c>
      <c r="K426" s="56"/>
      <c r="L426" s="11"/>
      <c r="M426" s="1"/>
      <c r="N426" s="1"/>
      <c r="O426" s="1"/>
      <c r="P426" s="1"/>
      <c r="Q426" s="1"/>
      <c r="R426" s="1"/>
      <c r="S426" s="1"/>
      <c r="T426" s="1"/>
      <c r="U426" s="1"/>
    </row>
    <row r="427" spans="2:21" s="72" customFormat="1" ht="18.75" x14ac:dyDescent="0.3">
      <c r="B427" s="66" t="s">
        <v>9</v>
      </c>
      <c r="C427" s="67" t="s">
        <v>16</v>
      </c>
      <c r="D427" s="67">
        <v>90</v>
      </c>
      <c r="E427" s="67"/>
      <c r="F427" s="67" t="s">
        <v>241</v>
      </c>
      <c r="G427" s="81">
        <v>12.195</v>
      </c>
      <c r="H427" s="69" t="s">
        <v>62</v>
      </c>
      <c r="I427" s="70">
        <v>270000</v>
      </c>
      <c r="J427" s="71" t="s">
        <v>56</v>
      </c>
      <c r="K427" s="56"/>
      <c r="L427" s="11"/>
      <c r="M427" s="1"/>
      <c r="N427" s="1"/>
      <c r="O427" s="1"/>
      <c r="P427" s="1"/>
      <c r="Q427" s="1"/>
      <c r="R427" s="1"/>
      <c r="S427" s="1"/>
      <c r="T427" s="1"/>
      <c r="U427" s="1"/>
    </row>
    <row r="428" spans="2:21" s="72" customFormat="1" ht="18.75" x14ac:dyDescent="0.3">
      <c r="B428" s="66" t="s">
        <v>9</v>
      </c>
      <c r="C428" s="67" t="s">
        <v>16</v>
      </c>
      <c r="D428" s="67">
        <v>100</v>
      </c>
      <c r="E428" s="67"/>
      <c r="F428" s="67" t="s">
        <v>241</v>
      </c>
      <c r="G428" s="81">
        <v>4.702</v>
      </c>
      <c r="H428" s="69" t="s">
        <v>62</v>
      </c>
      <c r="I428" s="70">
        <v>270000</v>
      </c>
      <c r="J428" s="71" t="s">
        <v>56</v>
      </c>
      <c r="K428" s="56"/>
      <c r="L428" s="11"/>
      <c r="M428" s="1"/>
      <c r="N428" s="1"/>
      <c r="O428" s="1"/>
      <c r="P428" s="1"/>
      <c r="Q428" s="1"/>
      <c r="R428" s="1"/>
      <c r="S428" s="1"/>
      <c r="T428" s="1"/>
      <c r="U428" s="1"/>
    </row>
    <row r="429" spans="2:21" ht="18.75" x14ac:dyDescent="0.3">
      <c r="B429" s="66" t="s">
        <v>9</v>
      </c>
      <c r="C429" s="67" t="s">
        <v>16</v>
      </c>
      <c r="D429" s="67">
        <v>100</v>
      </c>
      <c r="E429" s="67"/>
      <c r="F429" s="67" t="s">
        <v>143</v>
      </c>
      <c r="G429" s="81">
        <v>0.26200000000000001</v>
      </c>
      <c r="H429" s="69" t="s">
        <v>62</v>
      </c>
      <c r="I429" s="70">
        <v>270000</v>
      </c>
      <c r="J429" s="71" t="s">
        <v>56</v>
      </c>
      <c r="K429" s="56"/>
      <c r="L429" s="11"/>
    </row>
    <row r="430" spans="2:21" s="72" customFormat="1" ht="18.75" x14ac:dyDescent="0.3">
      <c r="B430" s="26" t="s">
        <v>9</v>
      </c>
      <c r="C430" s="27" t="s">
        <v>16</v>
      </c>
      <c r="D430" s="27">
        <v>110</v>
      </c>
      <c r="E430" s="27"/>
      <c r="F430" s="27" t="s">
        <v>202</v>
      </c>
      <c r="G430" s="30">
        <v>0.36599999999999999</v>
      </c>
      <c r="H430" s="33" t="s">
        <v>62</v>
      </c>
      <c r="I430" s="38">
        <v>270000</v>
      </c>
      <c r="J430" s="29" t="s">
        <v>56</v>
      </c>
      <c r="K430" s="56"/>
      <c r="L430" s="11"/>
      <c r="M430" s="1"/>
      <c r="N430" s="1"/>
      <c r="O430" s="1"/>
      <c r="P430" s="1"/>
      <c r="Q430" s="1"/>
      <c r="R430" s="1"/>
      <c r="S430" s="1"/>
      <c r="T430" s="1"/>
      <c r="U430" s="1"/>
    </row>
    <row r="431" spans="2:21" ht="18.75" x14ac:dyDescent="0.3">
      <c r="B431" s="26" t="s">
        <v>9</v>
      </c>
      <c r="C431" s="27" t="s">
        <v>16</v>
      </c>
      <c r="D431" s="27">
        <v>120</v>
      </c>
      <c r="E431" s="27"/>
      <c r="F431" s="27" t="s">
        <v>143</v>
      </c>
      <c r="G431" s="30">
        <v>0.64700000000000002</v>
      </c>
      <c r="H431" s="33" t="s">
        <v>62</v>
      </c>
      <c r="I431" s="38">
        <v>250000</v>
      </c>
      <c r="J431" s="29" t="s">
        <v>56</v>
      </c>
      <c r="K431" s="56"/>
      <c r="L431" s="11"/>
    </row>
    <row r="432" spans="2:21" s="72" customFormat="1" ht="18.75" x14ac:dyDescent="0.3">
      <c r="B432" s="66" t="s">
        <v>9</v>
      </c>
      <c r="C432" s="67" t="s">
        <v>16</v>
      </c>
      <c r="D432" s="67">
        <v>120</v>
      </c>
      <c r="E432" s="67"/>
      <c r="F432" s="67" t="s">
        <v>202</v>
      </c>
      <c r="G432" s="81">
        <v>4.4450000000000003</v>
      </c>
      <c r="H432" s="69" t="s">
        <v>62</v>
      </c>
      <c r="I432" s="70">
        <v>270000</v>
      </c>
      <c r="J432" s="71" t="s">
        <v>56</v>
      </c>
      <c r="K432" s="56"/>
      <c r="L432" s="11"/>
      <c r="M432" s="1"/>
      <c r="N432" s="1"/>
      <c r="O432" s="1"/>
      <c r="P432" s="1"/>
      <c r="Q432" s="1"/>
      <c r="R432" s="1"/>
      <c r="S432" s="1"/>
      <c r="T432" s="1"/>
      <c r="U432" s="1"/>
    </row>
    <row r="433" spans="2:21" s="72" customFormat="1" ht="18.75" x14ac:dyDescent="0.3">
      <c r="B433" s="66" t="s">
        <v>9</v>
      </c>
      <c r="C433" s="67" t="s">
        <v>16</v>
      </c>
      <c r="D433" s="67">
        <v>130</v>
      </c>
      <c r="E433" s="67"/>
      <c r="F433" s="67" t="s">
        <v>202</v>
      </c>
      <c r="G433" s="81">
        <v>1.2370000000000001</v>
      </c>
      <c r="H433" s="69" t="s">
        <v>62</v>
      </c>
      <c r="I433" s="70">
        <v>270000</v>
      </c>
      <c r="J433" s="71" t="s">
        <v>56</v>
      </c>
      <c r="K433" s="56"/>
      <c r="L433" s="11"/>
      <c r="M433" s="1"/>
      <c r="N433" s="1"/>
      <c r="O433" s="1"/>
      <c r="P433" s="1"/>
      <c r="Q433" s="1"/>
      <c r="R433" s="1"/>
      <c r="S433" s="1"/>
      <c r="T433" s="1"/>
      <c r="U433" s="1"/>
    </row>
    <row r="434" spans="2:21" s="72" customFormat="1" ht="18.75" x14ac:dyDescent="0.3">
      <c r="B434" s="66" t="s">
        <v>9</v>
      </c>
      <c r="C434" s="67" t="s">
        <v>16</v>
      </c>
      <c r="D434" s="67">
        <v>150</v>
      </c>
      <c r="E434" s="67"/>
      <c r="F434" s="67" t="s">
        <v>329</v>
      </c>
      <c r="G434" s="81">
        <v>4.5519999999999996</v>
      </c>
      <c r="H434" s="69" t="s">
        <v>62</v>
      </c>
      <c r="I434" s="70">
        <v>270000</v>
      </c>
      <c r="J434" s="71" t="s">
        <v>56</v>
      </c>
      <c r="K434" s="56"/>
      <c r="L434" s="11"/>
      <c r="M434" s="1"/>
      <c r="N434" s="1"/>
      <c r="O434" s="1"/>
      <c r="P434" s="1"/>
      <c r="Q434" s="1"/>
      <c r="R434" s="1"/>
      <c r="S434" s="1"/>
      <c r="T434" s="1"/>
      <c r="U434" s="1"/>
    </row>
    <row r="435" spans="2:21" s="72" customFormat="1" ht="18.75" x14ac:dyDescent="0.3">
      <c r="B435" s="66" t="s">
        <v>9</v>
      </c>
      <c r="C435" s="67" t="s">
        <v>16</v>
      </c>
      <c r="D435" s="67">
        <v>160</v>
      </c>
      <c r="E435" s="67"/>
      <c r="F435" s="67" t="s">
        <v>202</v>
      </c>
      <c r="G435" s="81">
        <v>4.28</v>
      </c>
      <c r="H435" s="69" t="s">
        <v>60</v>
      </c>
      <c r="I435" s="70">
        <v>270000</v>
      </c>
      <c r="J435" s="71" t="s">
        <v>56</v>
      </c>
      <c r="K435" s="56"/>
      <c r="L435" s="11"/>
      <c r="M435" s="1"/>
      <c r="N435" s="1"/>
      <c r="O435" s="1"/>
      <c r="P435" s="1"/>
      <c r="Q435" s="1"/>
      <c r="R435" s="1"/>
      <c r="S435" s="1"/>
      <c r="T435" s="1"/>
      <c r="U435" s="1"/>
    </row>
    <row r="436" spans="2:21" s="72" customFormat="1" ht="18.75" x14ac:dyDescent="0.3">
      <c r="B436" s="66" t="s">
        <v>9</v>
      </c>
      <c r="C436" s="67" t="s">
        <v>16</v>
      </c>
      <c r="D436" s="67">
        <v>170</v>
      </c>
      <c r="E436" s="67"/>
      <c r="F436" s="67" t="s">
        <v>202</v>
      </c>
      <c r="G436" s="81">
        <v>3.355</v>
      </c>
      <c r="H436" s="69" t="s">
        <v>62</v>
      </c>
      <c r="I436" s="70">
        <v>270000</v>
      </c>
      <c r="J436" s="71" t="s">
        <v>56</v>
      </c>
      <c r="K436" s="56"/>
      <c r="L436" s="11"/>
      <c r="M436" s="1"/>
      <c r="N436" s="1"/>
      <c r="O436" s="1"/>
      <c r="P436" s="1"/>
      <c r="Q436" s="1"/>
      <c r="R436" s="1"/>
      <c r="S436" s="1"/>
      <c r="T436" s="1"/>
      <c r="U436" s="1"/>
    </row>
    <row r="437" spans="2:21" s="72" customFormat="1" ht="18.75" x14ac:dyDescent="0.3">
      <c r="B437" s="66" t="s">
        <v>9</v>
      </c>
      <c r="C437" s="67" t="s">
        <v>16</v>
      </c>
      <c r="D437" s="67">
        <v>180</v>
      </c>
      <c r="E437" s="67"/>
      <c r="F437" s="67" t="s">
        <v>242</v>
      </c>
      <c r="G437" s="81">
        <v>2.7650000000000001</v>
      </c>
      <c r="H437" s="69" t="s">
        <v>62</v>
      </c>
      <c r="I437" s="70">
        <v>270000</v>
      </c>
      <c r="J437" s="71" t="s">
        <v>56</v>
      </c>
      <c r="K437" s="56"/>
      <c r="L437" s="11"/>
      <c r="M437" s="1"/>
      <c r="N437" s="1"/>
      <c r="O437" s="1"/>
      <c r="P437" s="1"/>
      <c r="Q437" s="1"/>
      <c r="R437" s="1"/>
      <c r="S437" s="1"/>
      <c r="T437" s="1"/>
      <c r="U437" s="1"/>
    </row>
    <row r="438" spans="2:21" s="72" customFormat="1" ht="18.75" x14ac:dyDescent="0.3">
      <c r="B438" s="66" t="s">
        <v>9</v>
      </c>
      <c r="C438" s="67" t="s">
        <v>16</v>
      </c>
      <c r="D438" s="67">
        <v>210</v>
      </c>
      <c r="E438" s="67"/>
      <c r="F438" s="67" t="s">
        <v>242</v>
      </c>
      <c r="G438" s="81">
        <v>0.23</v>
      </c>
      <c r="H438" s="69" t="s">
        <v>62</v>
      </c>
      <c r="I438" s="70">
        <v>270000</v>
      </c>
      <c r="J438" s="71" t="s">
        <v>56</v>
      </c>
      <c r="K438" s="56"/>
      <c r="L438" s="11"/>
      <c r="M438" s="1"/>
      <c r="N438" s="1"/>
      <c r="O438" s="1"/>
      <c r="P438" s="1"/>
      <c r="Q438" s="1"/>
      <c r="R438" s="1"/>
      <c r="S438" s="1"/>
      <c r="T438" s="1"/>
      <c r="U438" s="1"/>
    </row>
    <row r="439" spans="2:21" s="72" customFormat="1" ht="18.75" x14ac:dyDescent="0.3">
      <c r="B439" s="66" t="s">
        <v>9</v>
      </c>
      <c r="C439" s="67" t="s">
        <v>16</v>
      </c>
      <c r="D439" s="67">
        <v>210</v>
      </c>
      <c r="E439" s="67"/>
      <c r="F439" s="67"/>
      <c r="G439" s="81">
        <v>10.747</v>
      </c>
      <c r="H439" s="69" t="s">
        <v>60</v>
      </c>
      <c r="I439" s="70">
        <v>270000</v>
      </c>
      <c r="J439" s="71" t="s">
        <v>56</v>
      </c>
      <c r="K439" s="56"/>
      <c r="L439" s="11"/>
      <c r="M439" s="1"/>
      <c r="N439" s="1"/>
      <c r="O439" s="1"/>
      <c r="P439" s="1"/>
      <c r="Q439" s="1"/>
      <c r="R439" s="1"/>
      <c r="S439" s="1"/>
      <c r="T439" s="1"/>
      <c r="U439" s="1"/>
    </row>
    <row r="440" spans="2:21" s="72" customFormat="1" ht="18.75" x14ac:dyDescent="0.3">
      <c r="B440" s="66" t="s">
        <v>9</v>
      </c>
      <c r="C440" s="67" t="s">
        <v>16</v>
      </c>
      <c r="D440" s="67">
        <v>230</v>
      </c>
      <c r="E440" s="67"/>
      <c r="F440" s="67"/>
      <c r="G440" s="81">
        <v>2.5070000000000001</v>
      </c>
      <c r="H440" s="69" t="s">
        <v>60</v>
      </c>
      <c r="I440" s="70">
        <v>270000</v>
      </c>
      <c r="J440" s="71" t="s">
        <v>56</v>
      </c>
      <c r="K440" s="56"/>
      <c r="L440" s="11"/>
      <c r="M440" s="1"/>
      <c r="N440" s="1"/>
      <c r="O440" s="1"/>
      <c r="P440" s="1"/>
      <c r="Q440" s="1"/>
      <c r="R440" s="1"/>
      <c r="S440" s="1"/>
      <c r="T440" s="1"/>
      <c r="U440" s="1"/>
    </row>
    <row r="441" spans="2:21" s="3" customFormat="1" ht="18.75" x14ac:dyDescent="0.3">
      <c r="B441" s="25" t="s">
        <v>204</v>
      </c>
      <c r="C441" s="24" t="s">
        <v>16</v>
      </c>
      <c r="D441" s="24">
        <v>260</v>
      </c>
      <c r="E441" s="24"/>
      <c r="F441" s="24"/>
      <c r="G441" s="30">
        <v>1.2969999999999999</v>
      </c>
      <c r="H441" s="33" t="s">
        <v>210</v>
      </c>
      <c r="I441" s="38">
        <v>245000</v>
      </c>
      <c r="J441" s="29" t="s">
        <v>56</v>
      </c>
      <c r="K441" s="56"/>
      <c r="L441" s="10"/>
    </row>
    <row r="442" spans="2:21" s="3" customFormat="1" ht="18.75" x14ac:dyDescent="0.3">
      <c r="B442" s="25" t="s">
        <v>204</v>
      </c>
      <c r="C442" s="24" t="s">
        <v>16</v>
      </c>
      <c r="D442" s="24">
        <v>260</v>
      </c>
      <c r="E442" s="24"/>
      <c r="F442" s="24"/>
      <c r="G442" s="30">
        <v>1.34</v>
      </c>
      <c r="H442" s="33" t="s">
        <v>210</v>
      </c>
      <c r="I442" s="38">
        <v>245000</v>
      </c>
      <c r="J442" s="29" t="s">
        <v>56</v>
      </c>
      <c r="K442" s="56"/>
      <c r="L442" s="10"/>
    </row>
    <row r="443" spans="2:21" s="72" customFormat="1" ht="18.75" x14ac:dyDescent="0.3">
      <c r="B443" s="66" t="s">
        <v>9</v>
      </c>
      <c r="C443" s="67" t="s">
        <v>162</v>
      </c>
      <c r="D443" s="67">
        <v>50</v>
      </c>
      <c r="E443" s="66" t="s">
        <v>367</v>
      </c>
      <c r="F443" s="67" t="s">
        <v>163</v>
      </c>
      <c r="G443" s="81">
        <v>4.4859999999999998</v>
      </c>
      <c r="H443" s="69" t="s">
        <v>58</v>
      </c>
      <c r="I443" s="75">
        <v>480000</v>
      </c>
      <c r="J443" s="71" t="s">
        <v>56</v>
      </c>
      <c r="K443" s="56"/>
      <c r="L443" s="11"/>
      <c r="M443" s="1"/>
      <c r="N443" s="1"/>
      <c r="O443" s="1"/>
      <c r="P443" s="1"/>
      <c r="Q443" s="1"/>
      <c r="R443" s="1"/>
      <c r="S443" s="1"/>
      <c r="T443" s="1"/>
      <c r="U443" s="1"/>
    </row>
    <row r="444" spans="2:21" s="72" customFormat="1" ht="18.75" x14ac:dyDescent="0.3">
      <c r="B444" s="66" t="s">
        <v>9</v>
      </c>
      <c r="C444" s="67" t="s">
        <v>162</v>
      </c>
      <c r="D444" s="67">
        <v>53</v>
      </c>
      <c r="E444" s="66" t="s">
        <v>368</v>
      </c>
      <c r="F444" s="67"/>
      <c r="G444" s="81">
        <v>8.2579999999999991</v>
      </c>
      <c r="H444" s="69" t="s">
        <v>58</v>
      </c>
      <c r="I444" s="75">
        <v>480000</v>
      </c>
      <c r="J444" s="71" t="s">
        <v>56</v>
      </c>
      <c r="K444" s="56"/>
      <c r="L444" s="11"/>
      <c r="M444" s="1"/>
      <c r="N444" s="1"/>
      <c r="O444" s="1"/>
      <c r="P444" s="1"/>
      <c r="Q444" s="1"/>
      <c r="R444" s="1"/>
      <c r="S444" s="1"/>
      <c r="T444" s="1"/>
      <c r="U444" s="1"/>
    </row>
    <row r="445" spans="2:21" s="72" customFormat="1" ht="18.75" x14ac:dyDescent="0.3">
      <c r="B445" s="66" t="s">
        <v>9</v>
      </c>
      <c r="C445" s="67" t="s">
        <v>162</v>
      </c>
      <c r="D445" s="67">
        <v>56</v>
      </c>
      <c r="E445" s="66" t="s">
        <v>369</v>
      </c>
      <c r="F445" s="67" t="s">
        <v>163</v>
      </c>
      <c r="G445" s="81">
        <v>4.7380000000000004</v>
      </c>
      <c r="H445" s="69" t="s">
        <v>182</v>
      </c>
      <c r="I445" s="75">
        <v>480000</v>
      </c>
      <c r="J445" s="71" t="s">
        <v>56</v>
      </c>
      <c r="K445" s="56"/>
      <c r="L445" s="11"/>
      <c r="M445" s="1"/>
      <c r="N445" s="1"/>
      <c r="O445" s="1"/>
      <c r="P445" s="1"/>
      <c r="Q445" s="1"/>
      <c r="R445" s="1"/>
      <c r="S445" s="1"/>
      <c r="T445" s="1"/>
      <c r="U445" s="1"/>
    </row>
    <row r="446" spans="2:21" s="72" customFormat="1" ht="18.75" x14ac:dyDescent="0.3">
      <c r="B446" s="66" t="s">
        <v>9</v>
      </c>
      <c r="C446" s="67" t="s">
        <v>162</v>
      </c>
      <c r="D446" s="67">
        <v>60</v>
      </c>
      <c r="E446" s="66" t="s">
        <v>370</v>
      </c>
      <c r="F446" s="67" t="s">
        <v>163</v>
      </c>
      <c r="G446" s="81">
        <v>7.66</v>
      </c>
      <c r="H446" s="69" t="s">
        <v>182</v>
      </c>
      <c r="I446" s="75">
        <v>480000</v>
      </c>
      <c r="J446" s="71" t="s">
        <v>56</v>
      </c>
      <c r="K446" s="56"/>
      <c r="L446" s="11"/>
      <c r="M446" s="1"/>
      <c r="N446" s="1"/>
      <c r="O446" s="1"/>
      <c r="P446" s="1"/>
      <c r="Q446" s="1"/>
      <c r="R446" s="1"/>
      <c r="S446" s="1"/>
      <c r="T446" s="1"/>
      <c r="U446" s="1"/>
    </row>
    <row r="447" spans="2:21" s="72" customFormat="1" ht="18.75" x14ac:dyDescent="0.3">
      <c r="B447" s="66" t="s">
        <v>9</v>
      </c>
      <c r="C447" s="67" t="s">
        <v>162</v>
      </c>
      <c r="D447" s="67">
        <v>61</v>
      </c>
      <c r="E447" s="66">
        <v>4.83</v>
      </c>
      <c r="F447" s="67" t="s">
        <v>189</v>
      </c>
      <c r="G447" s="81">
        <v>0.3</v>
      </c>
      <c r="H447" s="69" t="s">
        <v>182</v>
      </c>
      <c r="I447" s="75">
        <v>450000</v>
      </c>
      <c r="J447" s="71" t="s">
        <v>56</v>
      </c>
      <c r="K447" s="56"/>
      <c r="L447" s="11"/>
      <c r="M447" s="1"/>
      <c r="N447" s="1"/>
      <c r="O447" s="1"/>
      <c r="P447" s="1"/>
      <c r="Q447" s="1"/>
      <c r="R447" s="1"/>
      <c r="S447" s="1"/>
      <c r="T447" s="1"/>
      <c r="U447" s="1"/>
    </row>
    <row r="448" spans="2:21" s="72" customFormat="1" ht="18.75" x14ac:dyDescent="0.3">
      <c r="B448" s="66" t="s">
        <v>9</v>
      </c>
      <c r="C448" s="67" t="s">
        <v>162</v>
      </c>
      <c r="D448" s="67">
        <v>105</v>
      </c>
      <c r="E448" s="66" t="s">
        <v>368</v>
      </c>
      <c r="F448" s="67" t="s">
        <v>163</v>
      </c>
      <c r="G448" s="81">
        <v>2.8919999999999999</v>
      </c>
      <c r="H448" s="69" t="s">
        <v>58</v>
      </c>
      <c r="I448" s="75">
        <v>480000</v>
      </c>
      <c r="J448" s="71" t="s">
        <v>56</v>
      </c>
      <c r="K448" s="56"/>
      <c r="L448" s="11"/>
      <c r="M448" s="1"/>
      <c r="N448" s="1"/>
      <c r="O448" s="1"/>
      <c r="P448" s="1"/>
      <c r="Q448" s="1"/>
      <c r="R448" s="1"/>
      <c r="S448" s="1"/>
      <c r="T448" s="1"/>
      <c r="U448" s="1"/>
    </row>
    <row r="449" spans="2:21" s="72" customFormat="1" ht="18.75" x14ac:dyDescent="0.3">
      <c r="B449" s="66" t="s">
        <v>9</v>
      </c>
      <c r="C449" s="67" t="s">
        <v>162</v>
      </c>
      <c r="D449" s="67">
        <v>120</v>
      </c>
      <c r="E449" s="66" t="s">
        <v>368</v>
      </c>
      <c r="F449" s="67" t="s">
        <v>163</v>
      </c>
      <c r="G449" s="81">
        <v>4.5129999999999999</v>
      </c>
      <c r="H449" s="69" t="s">
        <v>58</v>
      </c>
      <c r="I449" s="75">
        <v>480000</v>
      </c>
      <c r="J449" s="71" t="s">
        <v>56</v>
      </c>
      <c r="K449" s="56"/>
      <c r="L449" s="11"/>
      <c r="M449" s="1"/>
      <c r="N449" s="1"/>
      <c r="O449" s="1"/>
      <c r="P449" s="1"/>
      <c r="Q449" s="1"/>
      <c r="R449" s="1"/>
      <c r="S449" s="1"/>
      <c r="T449" s="1"/>
      <c r="U449" s="1"/>
    </row>
    <row r="450" spans="2:21" s="72" customFormat="1" ht="18.75" x14ac:dyDescent="0.3">
      <c r="B450" s="83" t="s">
        <v>9</v>
      </c>
      <c r="C450" s="84" t="s">
        <v>24</v>
      </c>
      <c r="D450" s="84">
        <v>20</v>
      </c>
      <c r="E450" s="84"/>
      <c r="F450" s="84" t="s">
        <v>259</v>
      </c>
      <c r="G450" s="85">
        <v>3.3690000000000002</v>
      </c>
      <c r="H450" s="98" t="s">
        <v>60</v>
      </c>
      <c r="I450" s="99">
        <v>300000</v>
      </c>
      <c r="J450" s="100" t="s">
        <v>56</v>
      </c>
      <c r="K450" s="56"/>
      <c r="L450" s="11"/>
      <c r="M450" s="1"/>
      <c r="N450" s="1"/>
      <c r="O450" s="1"/>
      <c r="P450" s="1"/>
      <c r="Q450" s="1"/>
      <c r="R450" s="1"/>
      <c r="S450" s="1"/>
      <c r="T450" s="1"/>
      <c r="U450" s="1"/>
    </row>
    <row r="451" spans="2:21" s="72" customFormat="1" ht="18.75" x14ac:dyDescent="0.3">
      <c r="B451" s="26" t="s">
        <v>9</v>
      </c>
      <c r="C451" s="27" t="s">
        <v>24</v>
      </c>
      <c r="D451" s="27">
        <v>24</v>
      </c>
      <c r="E451" s="27"/>
      <c r="F451" s="27"/>
      <c r="G451" s="30">
        <v>2.1000000000000001E-2</v>
      </c>
      <c r="H451" s="33"/>
      <c r="I451" s="39">
        <v>280000</v>
      </c>
      <c r="J451" s="29" t="s">
        <v>56</v>
      </c>
      <c r="K451" s="56"/>
      <c r="L451" s="11"/>
      <c r="M451" s="1"/>
      <c r="N451" s="1"/>
      <c r="O451" s="1"/>
      <c r="P451" s="1"/>
      <c r="Q451" s="1"/>
      <c r="R451" s="1"/>
      <c r="S451" s="1"/>
      <c r="T451" s="1"/>
      <c r="U451" s="1"/>
    </row>
    <row r="452" spans="2:21" ht="18.75" x14ac:dyDescent="0.3">
      <c r="B452" s="26" t="s">
        <v>9</v>
      </c>
      <c r="C452" s="27" t="s">
        <v>24</v>
      </c>
      <c r="D452" s="27">
        <v>25</v>
      </c>
      <c r="E452" s="27"/>
      <c r="F452" s="27" t="s">
        <v>259</v>
      </c>
      <c r="G452" s="30">
        <v>1.77</v>
      </c>
      <c r="H452" s="28" t="s">
        <v>60</v>
      </c>
      <c r="I452" s="39">
        <v>300000</v>
      </c>
      <c r="J452" s="29" t="s">
        <v>56</v>
      </c>
      <c r="K452" s="14"/>
      <c r="L452" s="11"/>
    </row>
    <row r="453" spans="2:21" ht="18.75" x14ac:dyDescent="0.3">
      <c r="B453" s="26" t="s">
        <v>9</v>
      </c>
      <c r="C453" s="27" t="s">
        <v>24</v>
      </c>
      <c r="D453" s="27">
        <v>26</v>
      </c>
      <c r="E453" s="27"/>
      <c r="F453" s="27"/>
      <c r="G453" s="30">
        <v>3.5999999999999997E-2</v>
      </c>
      <c r="H453" s="28"/>
      <c r="I453" s="39">
        <v>280000</v>
      </c>
      <c r="J453" s="29" t="s">
        <v>56</v>
      </c>
      <c r="K453" s="14"/>
      <c r="L453" s="11"/>
    </row>
    <row r="454" spans="2:21" s="87" customFormat="1" ht="18.75" x14ac:dyDescent="0.3">
      <c r="B454" s="83" t="s">
        <v>9</v>
      </c>
      <c r="C454" s="84" t="s">
        <v>24</v>
      </c>
      <c r="D454" s="84">
        <v>30</v>
      </c>
      <c r="E454" s="84"/>
      <c r="F454" s="84" t="s">
        <v>259</v>
      </c>
      <c r="G454" s="85">
        <v>6.5570000000000004</v>
      </c>
      <c r="H454" s="98" t="s">
        <v>60</v>
      </c>
      <c r="I454" s="99">
        <v>300000</v>
      </c>
      <c r="J454" s="100" t="s">
        <v>56</v>
      </c>
      <c r="K454" s="56"/>
      <c r="L454" s="11"/>
      <c r="M454" s="1"/>
      <c r="N454" s="1"/>
      <c r="O454" s="1"/>
      <c r="P454" s="1"/>
      <c r="Q454" s="1"/>
      <c r="R454" s="1"/>
      <c r="S454" s="1"/>
      <c r="T454" s="1"/>
      <c r="U454" s="1"/>
    </row>
    <row r="455" spans="2:21" s="87" customFormat="1" ht="18.75" x14ac:dyDescent="0.3">
      <c r="B455" s="83" t="s">
        <v>9</v>
      </c>
      <c r="C455" s="84" t="s">
        <v>24</v>
      </c>
      <c r="D455" s="84">
        <v>36</v>
      </c>
      <c r="E455" s="84"/>
      <c r="F455" s="84" t="s">
        <v>259</v>
      </c>
      <c r="G455" s="85">
        <v>2.7810000000000001</v>
      </c>
      <c r="H455" s="98" t="s">
        <v>60</v>
      </c>
      <c r="I455" s="99">
        <v>300000</v>
      </c>
      <c r="J455" s="100" t="s">
        <v>56</v>
      </c>
      <c r="K455" s="56"/>
      <c r="L455" s="11"/>
      <c r="M455" s="1"/>
      <c r="N455" s="1"/>
      <c r="O455" s="1"/>
      <c r="P455" s="1"/>
      <c r="Q455" s="1"/>
      <c r="R455" s="1"/>
      <c r="S455" s="1"/>
      <c r="T455" s="1"/>
      <c r="U455" s="1"/>
    </row>
    <row r="456" spans="2:21" s="87" customFormat="1" ht="18.75" x14ac:dyDescent="0.3">
      <c r="B456" s="83" t="s">
        <v>9</v>
      </c>
      <c r="C456" s="84" t="s">
        <v>24</v>
      </c>
      <c r="D456" s="84">
        <v>40</v>
      </c>
      <c r="E456" s="84"/>
      <c r="F456" s="84" t="s">
        <v>259</v>
      </c>
      <c r="G456" s="85">
        <v>3.3420000000000001</v>
      </c>
      <c r="H456" s="98" t="s">
        <v>60</v>
      </c>
      <c r="I456" s="99">
        <v>300000</v>
      </c>
      <c r="J456" s="100" t="s">
        <v>56</v>
      </c>
      <c r="K456" s="56"/>
      <c r="L456" s="11"/>
      <c r="M456" s="1"/>
      <c r="N456" s="1"/>
      <c r="O456" s="1"/>
      <c r="P456" s="1"/>
      <c r="Q456" s="1"/>
      <c r="R456" s="1"/>
      <c r="S456" s="1"/>
      <c r="T456" s="1"/>
      <c r="U456" s="1"/>
    </row>
    <row r="457" spans="2:21" s="87" customFormat="1" ht="18.75" x14ac:dyDescent="0.3">
      <c r="B457" s="83" t="s">
        <v>9</v>
      </c>
      <c r="C457" s="84" t="s">
        <v>24</v>
      </c>
      <c r="D457" s="84">
        <v>45</v>
      </c>
      <c r="E457" s="84"/>
      <c r="F457" s="84" t="s">
        <v>259</v>
      </c>
      <c r="G457" s="85">
        <v>3.5609999999999999</v>
      </c>
      <c r="H457" s="98" t="s">
        <v>60</v>
      </c>
      <c r="I457" s="99">
        <v>300000</v>
      </c>
      <c r="J457" s="100" t="s">
        <v>56</v>
      </c>
      <c r="K457" s="56"/>
      <c r="L457" s="11"/>
      <c r="M457" s="1"/>
      <c r="N457" s="1"/>
      <c r="O457" s="1"/>
      <c r="P457" s="1"/>
      <c r="Q457" s="1"/>
      <c r="R457" s="1"/>
      <c r="S457" s="1"/>
      <c r="T457" s="1"/>
      <c r="U457" s="1"/>
    </row>
    <row r="458" spans="2:21" s="87" customFormat="1" ht="18.75" x14ac:dyDescent="0.3">
      <c r="B458" s="83" t="s">
        <v>9</v>
      </c>
      <c r="C458" s="84" t="s">
        <v>24</v>
      </c>
      <c r="D458" s="84">
        <v>50</v>
      </c>
      <c r="E458" s="84"/>
      <c r="F458" s="84" t="s">
        <v>259</v>
      </c>
      <c r="G458" s="85">
        <v>3</v>
      </c>
      <c r="H458" s="69" t="s">
        <v>58</v>
      </c>
      <c r="I458" s="75">
        <v>300000</v>
      </c>
      <c r="J458" s="71" t="s">
        <v>392</v>
      </c>
      <c r="K458" s="56"/>
      <c r="L458" s="11"/>
      <c r="M458" s="1"/>
      <c r="N458" s="1"/>
      <c r="O458" s="1"/>
      <c r="P458" s="1"/>
      <c r="Q458" s="1"/>
      <c r="R458" s="1"/>
      <c r="S458" s="1"/>
      <c r="T458" s="1"/>
      <c r="U458" s="1"/>
    </row>
    <row r="459" spans="2:21" ht="18.75" x14ac:dyDescent="0.3">
      <c r="B459" s="26" t="s">
        <v>9</v>
      </c>
      <c r="C459" s="27" t="s">
        <v>24</v>
      </c>
      <c r="D459" s="27">
        <v>50</v>
      </c>
      <c r="E459" s="27"/>
      <c r="F459" s="27" t="s">
        <v>139</v>
      </c>
      <c r="G459" s="30">
        <v>0.1</v>
      </c>
      <c r="H459" s="33" t="s">
        <v>60</v>
      </c>
      <c r="I459" s="39">
        <v>300000</v>
      </c>
      <c r="J459" s="29" t="s">
        <v>56</v>
      </c>
      <c r="K459" s="13"/>
      <c r="L459" s="11"/>
    </row>
    <row r="460" spans="2:21" ht="18.75" x14ac:dyDescent="0.3">
      <c r="B460" s="66" t="s">
        <v>9</v>
      </c>
      <c r="C460" s="67" t="s">
        <v>24</v>
      </c>
      <c r="D460" s="67">
        <v>60</v>
      </c>
      <c r="E460" s="67"/>
      <c r="F460" s="67" t="s">
        <v>197</v>
      </c>
      <c r="G460" s="85">
        <v>3</v>
      </c>
      <c r="H460" s="69" t="s">
        <v>58</v>
      </c>
      <c r="I460" s="75">
        <v>300000</v>
      </c>
      <c r="J460" s="71" t="s">
        <v>392</v>
      </c>
      <c r="K460" s="13"/>
      <c r="L460" s="11"/>
    </row>
    <row r="461" spans="2:21" s="72" customFormat="1" ht="18.75" x14ac:dyDescent="0.3">
      <c r="B461" s="66" t="s">
        <v>9</v>
      </c>
      <c r="C461" s="67" t="s">
        <v>24</v>
      </c>
      <c r="D461" s="67">
        <v>60</v>
      </c>
      <c r="E461" s="67"/>
      <c r="F461" s="67" t="s">
        <v>197</v>
      </c>
      <c r="G461" s="81">
        <v>1.0880000000000001</v>
      </c>
      <c r="H461" s="69" t="s">
        <v>60</v>
      </c>
      <c r="I461" s="99">
        <v>300000</v>
      </c>
      <c r="J461" s="71" t="s">
        <v>56</v>
      </c>
      <c r="K461" s="56"/>
      <c r="L461" s="11"/>
      <c r="M461" s="1"/>
      <c r="N461" s="1"/>
      <c r="O461" s="1"/>
      <c r="P461" s="1"/>
      <c r="Q461" s="1"/>
      <c r="R461" s="1"/>
      <c r="S461" s="1"/>
      <c r="T461" s="1"/>
      <c r="U461" s="1"/>
    </row>
    <row r="462" spans="2:21" s="72" customFormat="1" ht="18.75" x14ac:dyDescent="0.3">
      <c r="B462" s="83" t="s">
        <v>9</v>
      </c>
      <c r="C462" s="84" t="s">
        <v>24</v>
      </c>
      <c r="D462" s="84">
        <v>70</v>
      </c>
      <c r="E462" s="84"/>
      <c r="F462" s="84" t="s">
        <v>259</v>
      </c>
      <c r="G462" s="85">
        <v>2.1240000000000001</v>
      </c>
      <c r="H462" s="98" t="s">
        <v>60</v>
      </c>
      <c r="I462" s="99">
        <v>300000</v>
      </c>
      <c r="J462" s="100" t="s">
        <v>56</v>
      </c>
      <c r="K462" s="56"/>
      <c r="L462" s="11"/>
      <c r="M462" s="1"/>
      <c r="N462" s="1"/>
      <c r="O462" s="1"/>
      <c r="P462" s="1"/>
      <c r="Q462" s="1"/>
      <c r="R462" s="1"/>
      <c r="S462" s="1"/>
      <c r="T462" s="1"/>
      <c r="U462" s="1"/>
    </row>
    <row r="463" spans="2:21" s="72" customFormat="1" ht="18.75" x14ac:dyDescent="0.3">
      <c r="B463" s="83" t="s">
        <v>9</v>
      </c>
      <c r="C463" s="84" t="s">
        <v>24</v>
      </c>
      <c r="D463" s="84">
        <v>70</v>
      </c>
      <c r="E463" s="84"/>
      <c r="F463" s="84" t="s">
        <v>259</v>
      </c>
      <c r="G463" s="85">
        <v>2</v>
      </c>
      <c r="H463" s="98" t="s">
        <v>60</v>
      </c>
      <c r="I463" s="99">
        <v>300000</v>
      </c>
      <c r="J463" s="100" t="s">
        <v>56</v>
      </c>
      <c r="K463" s="56"/>
      <c r="L463" s="11"/>
      <c r="M463" s="1"/>
      <c r="N463" s="1"/>
      <c r="O463" s="1"/>
      <c r="P463" s="1"/>
      <c r="Q463" s="1"/>
      <c r="R463" s="1"/>
      <c r="S463" s="1"/>
      <c r="T463" s="1"/>
      <c r="U463" s="1"/>
    </row>
    <row r="464" spans="2:21" ht="18.75" x14ac:dyDescent="0.3">
      <c r="B464" s="26" t="s">
        <v>9</v>
      </c>
      <c r="C464" s="27" t="s">
        <v>24</v>
      </c>
      <c r="D464" s="27">
        <v>80</v>
      </c>
      <c r="E464" s="27"/>
      <c r="F464" s="27" t="s">
        <v>6</v>
      </c>
      <c r="G464" s="30">
        <v>2.141</v>
      </c>
      <c r="H464" s="33" t="s">
        <v>140</v>
      </c>
      <c r="I464" s="39">
        <v>300000</v>
      </c>
      <c r="J464" s="29" t="s">
        <v>56</v>
      </c>
      <c r="K464" s="13"/>
      <c r="L464" s="11"/>
    </row>
    <row r="465" spans="2:21" ht="18.75" x14ac:dyDescent="0.3">
      <c r="B465" s="26" t="s">
        <v>9</v>
      </c>
      <c r="C465" s="27" t="s">
        <v>24</v>
      </c>
      <c r="D465" s="27">
        <v>90</v>
      </c>
      <c r="E465" s="27"/>
      <c r="F465" s="27" t="s">
        <v>53</v>
      </c>
      <c r="G465" s="30">
        <v>0.23400000000000001</v>
      </c>
      <c r="H465" s="33" t="s">
        <v>62</v>
      </c>
      <c r="I465" s="39">
        <v>300000</v>
      </c>
      <c r="J465" s="29" t="s">
        <v>56</v>
      </c>
      <c r="K465" s="54"/>
      <c r="L465" s="11"/>
    </row>
    <row r="466" spans="2:21" ht="18.75" x14ac:dyDescent="0.3">
      <c r="B466" s="26" t="s">
        <v>9</v>
      </c>
      <c r="C466" s="27" t="s">
        <v>24</v>
      </c>
      <c r="D466" s="27">
        <v>95</v>
      </c>
      <c r="E466" s="27"/>
      <c r="F466" s="27" t="s">
        <v>82</v>
      </c>
      <c r="G466" s="30">
        <v>0.14000000000000001</v>
      </c>
      <c r="H466" s="28" t="s">
        <v>34</v>
      </c>
      <c r="I466" s="39">
        <v>300000</v>
      </c>
      <c r="J466" s="29" t="s">
        <v>56</v>
      </c>
      <c r="K466" s="47"/>
      <c r="L466" s="11"/>
    </row>
    <row r="467" spans="2:21" ht="18.75" x14ac:dyDescent="0.3">
      <c r="B467" s="66" t="s">
        <v>9</v>
      </c>
      <c r="C467" s="67" t="s">
        <v>24</v>
      </c>
      <c r="D467" s="67">
        <v>100</v>
      </c>
      <c r="E467" s="67"/>
      <c r="F467" s="67" t="s">
        <v>179</v>
      </c>
      <c r="G467" s="30">
        <v>0.45700000000000002</v>
      </c>
      <c r="H467" s="28" t="s">
        <v>60</v>
      </c>
      <c r="I467" s="39">
        <v>300000</v>
      </c>
      <c r="J467" s="29" t="s">
        <v>56</v>
      </c>
      <c r="K467" s="13"/>
      <c r="L467" s="11"/>
    </row>
    <row r="468" spans="2:21" s="72" customFormat="1" ht="18.75" x14ac:dyDescent="0.3">
      <c r="B468" s="66" t="s">
        <v>9</v>
      </c>
      <c r="C468" s="67" t="s">
        <v>24</v>
      </c>
      <c r="D468" s="67">
        <v>100</v>
      </c>
      <c r="E468" s="67"/>
      <c r="F468" s="67" t="s">
        <v>179</v>
      </c>
      <c r="G468" s="81">
        <v>1.5740000000000001</v>
      </c>
      <c r="H468" s="76" t="s">
        <v>60</v>
      </c>
      <c r="I468" s="99">
        <v>300000</v>
      </c>
      <c r="J468" s="71" t="s">
        <v>272</v>
      </c>
      <c r="K468" s="13"/>
      <c r="L468" s="11"/>
      <c r="M468" s="1"/>
      <c r="N468" s="1"/>
      <c r="O468" s="1"/>
      <c r="P468" s="1"/>
      <c r="Q468" s="1"/>
      <c r="R468" s="1"/>
      <c r="S468" s="1"/>
      <c r="T468" s="1"/>
      <c r="U468" s="1"/>
    </row>
    <row r="469" spans="2:21" s="72" customFormat="1" ht="18.75" x14ac:dyDescent="0.3">
      <c r="B469" s="66" t="s">
        <v>9</v>
      </c>
      <c r="C469" s="67" t="s">
        <v>24</v>
      </c>
      <c r="D469" s="67">
        <v>110</v>
      </c>
      <c r="E469" s="67"/>
      <c r="F469" s="67" t="s">
        <v>139</v>
      </c>
      <c r="G469" s="81">
        <v>3.1379999999999999</v>
      </c>
      <c r="H469" s="76" t="s">
        <v>60</v>
      </c>
      <c r="I469" s="99">
        <v>300000</v>
      </c>
      <c r="J469" s="71" t="s">
        <v>272</v>
      </c>
      <c r="K469" s="13"/>
      <c r="L469" s="11"/>
      <c r="M469" s="1"/>
      <c r="N469" s="1"/>
      <c r="O469" s="1"/>
      <c r="P469" s="1"/>
      <c r="Q469" s="1"/>
      <c r="R469" s="1"/>
      <c r="S469" s="1"/>
      <c r="T469" s="1"/>
      <c r="U469" s="1"/>
    </row>
    <row r="470" spans="2:21" ht="18.75" x14ac:dyDescent="0.3">
      <c r="B470" s="26" t="s">
        <v>9</v>
      </c>
      <c r="C470" s="27" t="s">
        <v>24</v>
      </c>
      <c r="D470" s="27">
        <v>110</v>
      </c>
      <c r="E470" s="27"/>
      <c r="F470" s="27" t="s">
        <v>139</v>
      </c>
      <c r="G470" s="30">
        <v>0.376</v>
      </c>
      <c r="H470" s="28" t="s">
        <v>140</v>
      </c>
      <c r="I470" s="39">
        <v>300000</v>
      </c>
      <c r="J470" s="29" t="s">
        <v>56</v>
      </c>
      <c r="K470" s="13"/>
      <c r="L470" s="11"/>
    </row>
    <row r="471" spans="2:21" ht="18.75" x14ac:dyDescent="0.3">
      <c r="B471" s="26" t="s">
        <v>9</v>
      </c>
      <c r="C471" s="27" t="s">
        <v>24</v>
      </c>
      <c r="D471" s="27">
        <v>120</v>
      </c>
      <c r="E471" s="27"/>
      <c r="F471" s="27" t="s">
        <v>171</v>
      </c>
      <c r="G471" s="30">
        <v>11.46</v>
      </c>
      <c r="H471" s="33" t="s">
        <v>62</v>
      </c>
      <c r="I471" s="39">
        <v>280000</v>
      </c>
      <c r="J471" s="29" t="s">
        <v>56</v>
      </c>
      <c r="K471" s="13"/>
      <c r="L471" s="11"/>
    </row>
    <row r="472" spans="2:21" ht="18.75" x14ac:dyDescent="0.3">
      <c r="B472" s="66" t="s">
        <v>9</v>
      </c>
      <c r="C472" s="67" t="s">
        <v>24</v>
      </c>
      <c r="D472" s="67">
        <v>130</v>
      </c>
      <c r="E472" s="67"/>
      <c r="F472" s="84" t="s">
        <v>396</v>
      </c>
      <c r="G472" s="85">
        <v>3</v>
      </c>
      <c r="H472" s="69" t="s">
        <v>58</v>
      </c>
      <c r="I472" s="75">
        <v>300000</v>
      </c>
      <c r="J472" s="71" t="s">
        <v>392</v>
      </c>
      <c r="K472" s="13"/>
      <c r="L472" s="11"/>
    </row>
    <row r="473" spans="2:21" s="72" customFormat="1" ht="18.75" x14ac:dyDescent="0.3">
      <c r="B473" s="66" t="s">
        <v>9</v>
      </c>
      <c r="C473" s="67" t="s">
        <v>24</v>
      </c>
      <c r="D473" s="67">
        <v>140</v>
      </c>
      <c r="E473" s="67"/>
      <c r="F473" s="67" t="s">
        <v>139</v>
      </c>
      <c r="G473" s="81">
        <v>1.264</v>
      </c>
      <c r="H473" s="69" t="s">
        <v>60</v>
      </c>
      <c r="I473" s="99">
        <v>280000</v>
      </c>
      <c r="J473" s="71" t="s">
        <v>272</v>
      </c>
      <c r="K473" s="13"/>
      <c r="L473" s="11"/>
      <c r="M473" s="1"/>
      <c r="N473" s="1"/>
      <c r="O473" s="1"/>
      <c r="P473" s="1"/>
      <c r="Q473" s="1"/>
      <c r="R473" s="1"/>
      <c r="S473" s="1"/>
      <c r="T473" s="1"/>
      <c r="U473" s="1"/>
    </row>
    <row r="474" spans="2:21" ht="18.75" x14ac:dyDescent="0.3">
      <c r="B474" s="26" t="s">
        <v>9</v>
      </c>
      <c r="C474" s="27" t="s">
        <v>24</v>
      </c>
      <c r="D474" s="27">
        <v>150</v>
      </c>
      <c r="E474" s="27"/>
      <c r="F474" s="27" t="s">
        <v>411</v>
      </c>
      <c r="G474" s="30">
        <v>21.251000000000001</v>
      </c>
      <c r="H474" s="33" t="s">
        <v>62</v>
      </c>
      <c r="I474" s="39">
        <v>280000</v>
      </c>
      <c r="J474" s="29" t="s">
        <v>56</v>
      </c>
      <c r="K474" s="54"/>
      <c r="L474" s="11"/>
    </row>
    <row r="475" spans="2:21" ht="18.75" x14ac:dyDescent="0.3">
      <c r="B475" s="26" t="s">
        <v>9</v>
      </c>
      <c r="C475" s="27" t="s">
        <v>24</v>
      </c>
      <c r="D475" s="27">
        <v>190</v>
      </c>
      <c r="E475" s="27"/>
      <c r="F475" s="27" t="s">
        <v>47</v>
      </c>
      <c r="G475" s="30">
        <v>4.3140000000000001</v>
      </c>
      <c r="H475" s="33" t="s">
        <v>62</v>
      </c>
      <c r="I475" s="39">
        <v>280000</v>
      </c>
      <c r="J475" s="29" t="s">
        <v>56</v>
      </c>
      <c r="K475" s="13"/>
      <c r="L475" s="118"/>
    </row>
    <row r="476" spans="2:21" ht="18.75" x14ac:dyDescent="0.3">
      <c r="B476" s="66" t="s">
        <v>9</v>
      </c>
      <c r="C476" s="67" t="s">
        <v>24</v>
      </c>
      <c r="D476" s="67">
        <v>210</v>
      </c>
      <c r="E476" s="67"/>
      <c r="F476" s="84" t="s">
        <v>396</v>
      </c>
      <c r="G476" s="85">
        <v>3</v>
      </c>
      <c r="H476" s="69" t="s">
        <v>58</v>
      </c>
      <c r="I476" s="75">
        <v>300000</v>
      </c>
      <c r="J476" s="71" t="s">
        <v>392</v>
      </c>
      <c r="K476" s="13"/>
      <c r="L476" s="136"/>
    </row>
    <row r="477" spans="2:21" ht="18.75" x14ac:dyDescent="0.3">
      <c r="B477" s="66" t="s">
        <v>9</v>
      </c>
      <c r="C477" s="67" t="s">
        <v>24</v>
      </c>
      <c r="D477" s="67">
        <v>220</v>
      </c>
      <c r="E477" s="67"/>
      <c r="F477" s="84" t="s">
        <v>396</v>
      </c>
      <c r="G477" s="85">
        <v>3</v>
      </c>
      <c r="H477" s="69" t="s">
        <v>58</v>
      </c>
      <c r="I477" s="75">
        <v>300000</v>
      </c>
      <c r="J477" s="71" t="s">
        <v>392</v>
      </c>
      <c r="K477" s="13"/>
      <c r="L477" s="136"/>
    </row>
    <row r="478" spans="2:21" ht="18.75" x14ac:dyDescent="0.3">
      <c r="B478" s="26" t="s">
        <v>9</v>
      </c>
      <c r="C478" s="27" t="s">
        <v>24</v>
      </c>
      <c r="D478" s="27">
        <v>250</v>
      </c>
      <c r="E478" s="27"/>
      <c r="F478" s="27" t="s">
        <v>134</v>
      </c>
      <c r="G478" s="30">
        <v>1.0349999999999999</v>
      </c>
      <c r="H478" s="33" t="s">
        <v>62</v>
      </c>
      <c r="I478" s="39">
        <v>280000</v>
      </c>
      <c r="J478" s="29" t="s">
        <v>56</v>
      </c>
      <c r="K478" s="13"/>
      <c r="L478" s="11"/>
    </row>
    <row r="479" spans="2:21" ht="18.75" x14ac:dyDescent="0.3">
      <c r="B479" s="26" t="s">
        <v>9</v>
      </c>
      <c r="C479" s="27" t="s">
        <v>24</v>
      </c>
      <c r="D479" s="27">
        <v>300</v>
      </c>
      <c r="E479" s="27"/>
      <c r="F479" s="27" t="s">
        <v>183</v>
      </c>
      <c r="G479" s="30">
        <v>2.7040000000000002</v>
      </c>
      <c r="H479" s="33" t="s">
        <v>60</v>
      </c>
      <c r="I479" s="39">
        <v>280000</v>
      </c>
      <c r="J479" s="29" t="s">
        <v>56</v>
      </c>
      <c r="K479" s="13"/>
      <c r="L479" s="11"/>
      <c r="N479" s="1" t="s">
        <v>6</v>
      </c>
    </row>
    <row r="480" spans="2:21" ht="18.75" x14ac:dyDescent="0.3">
      <c r="B480" s="26" t="s">
        <v>10</v>
      </c>
      <c r="C480" s="27" t="s">
        <v>24</v>
      </c>
      <c r="D480" s="27" t="s">
        <v>33</v>
      </c>
      <c r="E480" s="27"/>
      <c r="F480" s="27" t="s">
        <v>275</v>
      </c>
      <c r="G480" s="30">
        <v>0.90500000000000003</v>
      </c>
      <c r="H480" s="33"/>
      <c r="I480" s="39">
        <v>250000</v>
      </c>
      <c r="J480" s="29" t="s">
        <v>56</v>
      </c>
      <c r="K480" s="13"/>
      <c r="L480" s="11"/>
    </row>
    <row r="481" spans="2:68" ht="18.75" x14ac:dyDescent="0.3">
      <c r="B481" s="26" t="s">
        <v>9</v>
      </c>
      <c r="C481" s="27" t="s">
        <v>161</v>
      </c>
      <c r="D481" s="27">
        <v>150</v>
      </c>
      <c r="E481" s="27"/>
      <c r="F481" s="27"/>
      <c r="G481" s="30">
        <v>1.4359999999999999</v>
      </c>
      <c r="H481" s="33" t="s">
        <v>34</v>
      </c>
      <c r="I481" s="39">
        <v>190000</v>
      </c>
      <c r="J481" s="29" t="s">
        <v>56</v>
      </c>
      <c r="K481" s="13"/>
      <c r="L481" s="11"/>
    </row>
    <row r="482" spans="2:68" ht="18.75" x14ac:dyDescent="0.3">
      <c r="B482" s="26" t="s">
        <v>9</v>
      </c>
      <c r="C482" s="27" t="s">
        <v>27</v>
      </c>
      <c r="D482" s="27">
        <v>30</v>
      </c>
      <c r="E482" s="27"/>
      <c r="F482" s="27" t="s">
        <v>116</v>
      </c>
      <c r="G482" s="30">
        <v>0.115</v>
      </c>
      <c r="H482" s="33" t="s">
        <v>60</v>
      </c>
      <c r="I482" s="39">
        <v>380000</v>
      </c>
      <c r="J482" s="29" t="s">
        <v>56</v>
      </c>
      <c r="K482" s="13"/>
      <c r="L482" s="11"/>
    </row>
    <row r="483" spans="2:68" ht="18.75" x14ac:dyDescent="0.3">
      <c r="B483" s="26" t="s">
        <v>9</v>
      </c>
      <c r="C483" s="27" t="s">
        <v>27</v>
      </c>
      <c r="D483" s="27">
        <v>36</v>
      </c>
      <c r="E483" s="27"/>
      <c r="F483" s="27" t="s">
        <v>116</v>
      </c>
      <c r="G483" s="30">
        <v>2.109</v>
      </c>
      <c r="H483" s="33" t="s">
        <v>60</v>
      </c>
      <c r="I483" s="39">
        <v>380000</v>
      </c>
      <c r="J483" s="29" t="s">
        <v>56</v>
      </c>
      <c r="K483" s="13"/>
      <c r="L483" s="11"/>
    </row>
    <row r="484" spans="2:68" ht="18.75" x14ac:dyDescent="0.3">
      <c r="B484" s="26" t="s">
        <v>9</v>
      </c>
      <c r="C484" s="27" t="s">
        <v>27</v>
      </c>
      <c r="D484" s="27">
        <v>40</v>
      </c>
      <c r="E484" s="27"/>
      <c r="F484" s="27" t="s">
        <v>116</v>
      </c>
      <c r="G484" s="30">
        <v>4.0149999999999997</v>
      </c>
      <c r="H484" s="33" t="s">
        <v>60</v>
      </c>
      <c r="I484" s="39">
        <v>380000</v>
      </c>
      <c r="J484" s="29" t="s">
        <v>56</v>
      </c>
      <c r="K484" s="13"/>
      <c r="L484" s="11"/>
    </row>
    <row r="485" spans="2:68" ht="18.75" x14ac:dyDescent="0.3">
      <c r="B485" s="26" t="s">
        <v>9</v>
      </c>
      <c r="C485" s="27" t="s">
        <v>27</v>
      </c>
      <c r="D485" s="27">
        <v>50</v>
      </c>
      <c r="E485" s="27"/>
      <c r="F485" s="27" t="s">
        <v>116</v>
      </c>
      <c r="G485" s="30">
        <v>1.7829999999999999</v>
      </c>
      <c r="H485" s="33" t="s">
        <v>60</v>
      </c>
      <c r="I485" s="39">
        <v>380000</v>
      </c>
      <c r="J485" s="29" t="s">
        <v>56</v>
      </c>
      <c r="K485" s="13"/>
      <c r="L485" s="11"/>
    </row>
    <row r="486" spans="2:68" ht="18.75" x14ac:dyDescent="0.3">
      <c r="B486" s="26" t="s">
        <v>9</v>
      </c>
      <c r="C486" s="27" t="s">
        <v>27</v>
      </c>
      <c r="D486" s="27">
        <v>56</v>
      </c>
      <c r="E486" s="27"/>
      <c r="F486" s="27" t="s">
        <v>116</v>
      </c>
      <c r="G486" s="30">
        <v>0.32300000000000001</v>
      </c>
      <c r="H486" s="33" t="s">
        <v>60</v>
      </c>
      <c r="I486" s="39">
        <v>380000</v>
      </c>
      <c r="J486" s="29" t="s">
        <v>56</v>
      </c>
      <c r="K486" s="13"/>
      <c r="L486" s="11"/>
    </row>
    <row r="487" spans="2:68" ht="18.75" x14ac:dyDescent="0.3">
      <c r="B487" s="26" t="s">
        <v>9</v>
      </c>
      <c r="C487" s="27" t="s">
        <v>27</v>
      </c>
      <c r="D487" s="27">
        <v>60</v>
      </c>
      <c r="E487" s="27"/>
      <c r="F487" s="27" t="s">
        <v>47</v>
      </c>
      <c r="G487" s="30">
        <v>3.1E-2</v>
      </c>
      <c r="H487" s="33" t="s">
        <v>62</v>
      </c>
      <c r="I487" s="39">
        <v>380000</v>
      </c>
      <c r="J487" s="29" t="s">
        <v>56</v>
      </c>
      <c r="K487" s="13"/>
      <c r="L487" s="11"/>
    </row>
    <row r="488" spans="2:68" ht="18.75" x14ac:dyDescent="0.3">
      <c r="B488" s="26" t="s">
        <v>9</v>
      </c>
      <c r="C488" s="27" t="s">
        <v>27</v>
      </c>
      <c r="D488" s="27">
        <v>60</v>
      </c>
      <c r="E488" s="27"/>
      <c r="F488" s="27" t="s">
        <v>225</v>
      </c>
      <c r="G488" s="30">
        <v>2.9929999999999999</v>
      </c>
      <c r="H488" s="33" t="s">
        <v>58</v>
      </c>
      <c r="I488" s="39">
        <v>390000</v>
      </c>
      <c r="J488" s="29" t="s">
        <v>56</v>
      </c>
      <c r="K488" s="13"/>
      <c r="L488" s="11"/>
    </row>
    <row r="489" spans="2:68" ht="18.75" x14ac:dyDescent="0.3">
      <c r="B489" s="26" t="s">
        <v>9</v>
      </c>
      <c r="C489" s="27" t="s">
        <v>27</v>
      </c>
      <c r="D489" s="27">
        <v>70</v>
      </c>
      <c r="E489" s="27"/>
      <c r="F489" s="27" t="s">
        <v>225</v>
      </c>
      <c r="G489" s="30">
        <v>2.181</v>
      </c>
      <c r="H489" s="33" t="s">
        <v>58</v>
      </c>
      <c r="I489" s="39">
        <v>390000</v>
      </c>
      <c r="J489" s="29" t="s">
        <v>56</v>
      </c>
      <c r="K489" s="13"/>
      <c r="L489" s="11"/>
    </row>
    <row r="490" spans="2:68" ht="18.75" x14ac:dyDescent="0.3">
      <c r="B490" s="26" t="s">
        <v>9</v>
      </c>
      <c r="C490" s="27" t="s">
        <v>27</v>
      </c>
      <c r="D490" s="27">
        <v>80</v>
      </c>
      <c r="E490" s="27"/>
      <c r="F490" s="27" t="s">
        <v>225</v>
      </c>
      <c r="G490" s="30">
        <v>1.468</v>
      </c>
      <c r="H490" s="33" t="s">
        <v>58</v>
      </c>
      <c r="I490" s="39">
        <v>390000</v>
      </c>
      <c r="J490" s="29" t="s">
        <v>56</v>
      </c>
      <c r="K490" s="13"/>
      <c r="L490" s="11"/>
    </row>
    <row r="491" spans="2:68" ht="18.75" x14ac:dyDescent="0.3">
      <c r="B491" s="26" t="s">
        <v>9</v>
      </c>
      <c r="C491" s="27" t="s">
        <v>27</v>
      </c>
      <c r="D491" s="27">
        <v>90</v>
      </c>
      <c r="E491" s="27"/>
      <c r="F491" s="27" t="s">
        <v>116</v>
      </c>
      <c r="G491" s="30">
        <v>1.1419999999999999</v>
      </c>
      <c r="H491" s="33" t="s">
        <v>62</v>
      </c>
      <c r="I491" s="39">
        <v>380000</v>
      </c>
      <c r="J491" s="29" t="s">
        <v>56</v>
      </c>
      <c r="K491" s="13"/>
      <c r="L491" s="11"/>
    </row>
    <row r="492" spans="2:68" ht="18.75" x14ac:dyDescent="0.3">
      <c r="B492" s="26" t="s">
        <v>9</v>
      </c>
      <c r="C492" s="27" t="s">
        <v>27</v>
      </c>
      <c r="D492" s="27">
        <v>110</v>
      </c>
      <c r="E492" s="27"/>
      <c r="F492" s="27" t="s">
        <v>116</v>
      </c>
      <c r="G492" s="30">
        <v>1.103</v>
      </c>
      <c r="H492" s="33" t="s">
        <v>62</v>
      </c>
      <c r="I492" s="39">
        <v>340000</v>
      </c>
      <c r="J492" s="29" t="s">
        <v>56</v>
      </c>
      <c r="K492" s="13"/>
      <c r="L492" s="11"/>
    </row>
    <row r="493" spans="2:68" ht="18.75" x14ac:dyDescent="0.3">
      <c r="B493" s="26" t="s">
        <v>9</v>
      </c>
      <c r="C493" s="27" t="s">
        <v>27</v>
      </c>
      <c r="D493" s="27">
        <v>120</v>
      </c>
      <c r="E493" s="27"/>
      <c r="F493" s="27" t="s">
        <v>49</v>
      </c>
      <c r="G493" s="30">
        <v>9.8000000000000004E-2</v>
      </c>
      <c r="H493" s="33" t="s">
        <v>62</v>
      </c>
      <c r="I493" s="39">
        <v>340000</v>
      </c>
      <c r="J493" s="29" t="s">
        <v>56</v>
      </c>
      <c r="K493" s="13"/>
      <c r="L493" s="11"/>
    </row>
    <row r="494" spans="2:68" ht="18.75" x14ac:dyDescent="0.3">
      <c r="B494" s="26" t="s">
        <v>9</v>
      </c>
      <c r="C494" s="27" t="s">
        <v>27</v>
      </c>
      <c r="D494" s="27">
        <v>120</v>
      </c>
      <c r="E494" s="27"/>
      <c r="F494" s="27" t="s">
        <v>116</v>
      </c>
      <c r="G494" s="30">
        <v>2.4689999999999999</v>
      </c>
      <c r="H494" s="33" t="s">
        <v>63</v>
      </c>
      <c r="I494" s="39">
        <v>340000</v>
      </c>
      <c r="J494" s="29" t="s">
        <v>56</v>
      </c>
      <c r="K494" s="13"/>
      <c r="L494" s="11"/>
    </row>
    <row r="495" spans="2:68" ht="18.75" x14ac:dyDescent="0.3">
      <c r="B495" s="26" t="s">
        <v>9</v>
      </c>
      <c r="C495" s="27" t="s">
        <v>27</v>
      </c>
      <c r="D495" s="27">
        <v>125</v>
      </c>
      <c r="E495" s="27"/>
      <c r="F495" s="27" t="s">
        <v>116</v>
      </c>
      <c r="G495" s="30">
        <v>0.45300000000000001</v>
      </c>
      <c r="H495" s="33" t="s">
        <v>63</v>
      </c>
      <c r="I495" s="39">
        <v>340000</v>
      </c>
      <c r="J495" s="51" t="s">
        <v>56</v>
      </c>
      <c r="K495" s="91"/>
      <c r="L495" s="11"/>
    </row>
    <row r="496" spans="2:68" ht="18.75" x14ac:dyDescent="0.3">
      <c r="B496" s="26" t="s">
        <v>9</v>
      </c>
      <c r="C496" s="27" t="s">
        <v>27</v>
      </c>
      <c r="D496" s="27">
        <v>130</v>
      </c>
      <c r="E496" s="27"/>
      <c r="F496" s="27" t="s">
        <v>116</v>
      </c>
      <c r="G496" s="30">
        <v>0.86399999999999999</v>
      </c>
      <c r="H496" s="33" t="s">
        <v>62</v>
      </c>
      <c r="I496" s="39">
        <v>340000</v>
      </c>
      <c r="J496" s="51" t="s">
        <v>56</v>
      </c>
      <c r="L496" s="11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</row>
    <row r="497" spans="2:68" ht="18.75" x14ac:dyDescent="0.3">
      <c r="B497" s="26" t="s">
        <v>9</v>
      </c>
      <c r="C497" s="27" t="s">
        <v>27</v>
      </c>
      <c r="D497" s="27">
        <v>130</v>
      </c>
      <c r="E497" s="27"/>
      <c r="F497" s="27" t="s">
        <v>116</v>
      </c>
      <c r="G497" s="30">
        <v>4.8280000000000003</v>
      </c>
      <c r="H497" s="33" t="s">
        <v>62</v>
      </c>
      <c r="I497" s="39">
        <v>340000</v>
      </c>
      <c r="J497" s="51" t="s">
        <v>56</v>
      </c>
      <c r="K497" s="7"/>
      <c r="L497" s="11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</row>
    <row r="498" spans="2:68" s="2" customFormat="1" ht="18.75" x14ac:dyDescent="0.3">
      <c r="B498" s="26" t="s">
        <v>9</v>
      </c>
      <c r="C498" s="27" t="s">
        <v>27</v>
      </c>
      <c r="D498" s="27">
        <v>150</v>
      </c>
      <c r="E498" s="27"/>
      <c r="F498" s="27" t="s">
        <v>152</v>
      </c>
      <c r="G498" s="30">
        <v>3.3069999999999999</v>
      </c>
      <c r="H498" s="33" t="s">
        <v>62</v>
      </c>
      <c r="I498" s="39">
        <v>340000</v>
      </c>
      <c r="J498" s="51" t="s">
        <v>56</v>
      </c>
      <c r="K498" s="1"/>
      <c r="L498" s="11"/>
      <c r="M498" s="1"/>
      <c r="N498" s="1"/>
      <c r="O498" s="1"/>
      <c r="P498" s="1"/>
      <c r="Q498" s="1"/>
      <c r="R498" s="1"/>
    </row>
    <row r="499" spans="2:68" s="2" customFormat="1" ht="18.75" x14ac:dyDescent="0.3">
      <c r="B499" s="26" t="s">
        <v>9</v>
      </c>
      <c r="C499" s="27" t="s">
        <v>27</v>
      </c>
      <c r="D499" s="27">
        <v>180</v>
      </c>
      <c r="E499" s="27"/>
      <c r="F499" s="27" t="s">
        <v>152</v>
      </c>
      <c r="G499" s="30">
        <v>3.0739999999999998</v>
      </c>
      <c r="H499" s="33" t="s">
        <v>58</v>
      </c>
      <c r="I499" s="39">
        <v>340000</v>
      </c>
      <c r="J499" s="51" t="s">
        <v>56</v>
      </c>
      <c r="K499" s="1"/>
      <c r="L499" s="11"/>
      <c r="M499" s="1"/>
      <c r="N499" s="1"/>
      <c r="O499" s="1"/>
      <c r="P499" s="1"/>
      <c r="Q499" s="1"/>
      <c r="R499" s="1"/>
    </row>
    <row r="500" spans="2:68" s="2" customFormat="1" ht="18.75" x14ac:dyDescent="0.3">
      <c r="B500" s="26" t="s">
        <v>9</v>
      </c>
      <c r="C500" s="27" t="s">
        <v>27</v>
      </c>
      <c r="D500" s="27">
        <v>180</v>
      </c>
      <c r="E500" s="27"/>
      <c r="F500" s="27"/>
      <c r="G500" s="30">
        <v>0.39300000000000002</v>
      </c>
      <c r="H500" s="33"/>
      <c r="I500" s="39">
        <v>340000</v>
      </c>
      <c r="J500" s="51" t="s">
        <v>56</v>
      </c>
      <c r="K500" s="1"/>
      <c r="L500" s="11"/>
      <c r="M500" s="1"/>
      <c r="N500" s="1"/>
      <c r="O500" s="1"/>
      <c r="P500" s="1"/>
      <c r="Q500" s="1"/>
      <c r="R500" s="1"/>
    </row>
    <row r="501" spans="2:68" s="2" customFormat="1" ht="18.75" x14ac:dyDescent="0.3">
      <c r="B501" s="26" t="s">
        <v>9</v>
      </c>
      <c r="C501" s="27" t="s">
        <v>27</v>
      </c>
      <c r="D501" s="27">
        <v>200</v>
      </c>
      <c r="E501" s="27"/>
      <c r="F501" s="27" t="s">
        <v>152</v>
      </c>
      <c r="G501" s="30">
        <v>0.60499999999999998</v>
      </c>
      <c r="H501" s="33" t="s">
        <v>58</v>
      </c>
      <c r="I501" s="39">
        <v>340000</v>
      </c>
      <c r="J501" s="51" t="s">
        <v>56</v>
      </c>
      <c r="K501" s="1"/>
      <c r="L501" s="11"/>
      <c r="M501" s="1"/>
      <c r="N501" s="1"/>
      <c r="O501" s="1"/>
      <c r="P501" s="1"/>
      <c r="Q501" s="1"/>
      <c r="R501" s="1"/>
    </row>
    <row r="502" spans="2:68" s="2" customFormat="1" ht="18.75" x14ac:dyDescent="0.3">
      <c r="B502" s="26" t="s">
        <v>9</v>
      </c>
      <c r="C502" s="27" t="s">
        <v>27</v>
      </c>
      <c r="D502" s="27">
        <v>210</v>
      </c>
      <c r="E502" s="27"/>
      <c r="F502" s="27" t="s">
        <v>152</v>
      </c>
      <c r="G502" s="30">
        <v>3.6230000000000002</v>
      </c>
      <c r="H502" s="33" t="s">
        <v>58</v>
      </c>
      <c r="I502" s="39">
        <v>340000</v>
      </c>
      <c r="J502" s="51" t="s">
        <v>56</v>
      </c>
      <c r="K502" s="1"/>
      <c r="L502" s="11"/>
      <c r="M502" s="1"/>
      <c r="N502" s="1"/>
      <c r="O502" s="1"/>
      <c r="P502" s="1"/>
      <c r="Q502" s="1"/>
      <c r="R502" s="1"/>
    </row>
    <row r="503" spans="2:68" s="2" customFormat="1" ht="18.75" x14ac:dyDescent="0.3">
      <c r="B503" s="26" t="s">
        <v>9</v>
      </c>
      <c r="C503" s="27" t="s">
        <v>27</v>
      </c>
      <c r="D503" s="27">
        <v>220</v>
      </c>
      <c r="E503" s="27"/>
      <c r="F503" s="27" t="s">
        <v>152</v>
      </c>
      <c r="G503" s="30">
        <v>1.2529999999999999</v>
      </c>
      <c r="H503" s="33" t="s">
        <v>58</v>
      </c>
      <c r="I503" s="39">
        <v>340000</v>
      </c>
      <c r="J503" s="51" t="s">
        <v>56</v>
      </c>
      <c r="K503" s="1"/>
      <c r="L503" s="11"/>
      <c r="M503" s="1"/>
      <c r="N503" s="1"/>
      <c r="O503" s="1"/>
      <c r="P503" s="1"/>
      <c r="Q503" s="1"/>
      <c r="R503" s="1"/>
    </row>
    <row r="504" spans="2:68" s="2" customFormat="1" ht="18.75" x14ac:dyDescent="0.3">
      <c r="B504" s="26" t="s">
        <v>9</v>
      </c>
      <c r="C504" s="27" t="s">
        <v>27</v>
      </c>
      <c r="D504" s="27">
        <v>230</v>
      </c>
      <c r="E504" s="27"/>
      <c r="F504" s="27" t="s">
        <v>223</v>
      </c>
      <c r="G504" s="30">
        <v>4.8449999999999998</v>
      </c>
      <c r="H504" s="33" t="s">
        <v>58</v>
      </c>
      <c r="I504" s="39">
        <v>340000</v>
      </c>
      <c r="J504" s="51" t="s">
        <v>56</v>
      </c>
      <c r="K504" s="1"/>
      <c r="L504" s="11"/>
      <c r="M504" s="1"/>
      <c r="N504" s="1"/>
      <c r="O504" s="1"/>
      <c r="P504" s="1"/>
      <c r="Q504" s="1"/>
      <c r="R504" s="1"/>
    </row>
    <row r="505" spans="2:68" s="2" customFormat="1" ht="18.75" x14ac:dyDescent="0.3">
      <c r="B505" s="26" t="s">
        <v>9</v>
      </c>
      <c r="C505" s="27" t="s">
        <v>381</v>
      </c>
      <c r="D505" s="27">
        <v>50</v>
      </c>
      <c r="E505" s="27" t="s">
        <v>382</v>
      </c>
      <c r="F505" s="27" t="s">
        <v>158</v>
      </c>
      <c r="G505" s="30">
        <v>9.5000000000000001E-2</v>
      </c>
      <c r="H505" s="33"/>
      <c r="I505" s="39">
        <v>130000</v>
      </c>
      <c r="J505" s="51" t="s">
        <v>56</v>
      </c>
      <c r="K505" s="1"/>
      <c r="L505" s="11"/>
      <c r="M505" s="1"/>
      <c r="N505" s="1"/>
      <c r="O505" s="1"/>
      <c r="P505" s="1"/>
      <c r="Q505" s="1"/>
      <c r="R505" s="1"/>
    </row>
    <row r="506" spans="2:68" s="2" customFormat="1" ht="18.75" x14ac:dyDescent="0.3">
      <c r="B506" s="26" t="s">
        <v>9</v>
      </c>
      <c r="C506" s="27" t="s">
        <v>381</v>
      </c>
      <c r="D506" s="27">
        <v>55</v>
      </c>
      <c r="E506" s="27" t="s">
        <v>383</v>
      </c>
      <c r="F506" s="27" t="s">
        <v>158</v>
      </c>
      <c r="G506" s="30">
        <v>0.107</v>
      </c>
      <c r="H506" s="33"/>
      <c r="I506" s="39">
        <v>130000</v>
      </c>
      <c r="J506" s="51" t="s">
        <v>56</v>
      </c>
      <c r="K506" s="1"/>
      <c r="L506" s="11"/>
      <c r="M506" s="1"/>
      <c r="N506" s="1"/>
      <c r="O506" s="1"/>
      <c r="P506" s="1"/>
      <c r="Q506" s="1"/>
      <c r="R506" s="1"/>
    </row>
    <row r="507" spans="2:68" s="2" customFormat="1" ht="18.75" x14ac:dyDescent="0.3">
      <c r="B507" s="26" t="s">
        <v>9</v>
      </c>
      <c r="C507" s="27" t="s">
        <v>381</v>
      </c>
      <c r="D507" s="27">
        <v>65</v>
      </c>
      <c r="E507" s="27"/>
      <c r="F507" s="27" t="s">
        <v>158</v>
      </c>
      <c r="G507" s="30"/>
      <c r="H507" s="33"/>
      <c r="I507" s="39">
        <v>130000</v>
      </c>
      <c r="J507" s="51" t="s">
        <v>56</v>
      </c>
      <c r="K507" s="1"/>
      <c r="L507" s="11"/>
      <c r="M507" s="1"/>
      <c r="N507" s="1"/>
      <c r="O507" s="1"/>
      <c r="P507" s="1"/>
      <c r="Q507" s="1"/>
      <c r="R507" s="1"/>
    </row>
    <row r="508" spans="2:68" s="2" customFormat="1" ht="18.75" x14ac:dyDescent="0.3">
      <c r="B508" s="26" t="s">
        <v>9</v>
      </c>
      <c r="C508" s="27" t="s">
        <v>69</v>
      </c>
      <c r="D508" s="27">
        <v>23</v>
      </c>
      <c r="E508" s="27"/>
      <c r="F508" s="27" t="s">
        <v>130</v>
      </c>
      <c r="G508" s="30">
        <v>0.27600000000000002</v>
      </c>
      <c r="H508" s="28" t="s">
        <v>63</v>
      </c>
      <c r="I508" s="38">
        <v>5500000</v>
      </c>
      <c r="J508" s="51" t="s">
        <v>56</v>
      </c>
      <c r="K508" s="90"/>
      <c r="L508" s="8"/>
    </row>
    <row r="509" spans="2:68" s="2" customFormat="1" ht="18.75" x14ac:dyDescent="0.3">
      <c r="B509" s="26" t="s">
        <v>9</v>
      </c>
      <c r="C509" s="27" t="s">
        <v>69</v>
      </c>
      <c r="D509" s="27">
        <v>26</v>
      </c>
      <c r="E509" s="27"/>
      <c r="F509" s="27" t="s">
        <v>130</v>
      </c>
      <c r="G509" s="30">
        <v>0.28399999999999997</v>
      </c>
      <c r="H509" s="28" t="s">
        <v>63</v>
      </c>
      <c r="I509" s="38">
        <v>5500000</v>
      </c>
      <c r="J509" s="51" t="s">
        <v>56</v>
      </c>
      <c r="L509" s="8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</row>
    <row r="510" spans="2:68" s="2" customFormat="1" ht="18.75" x14ac:dyDescent="0.3">
      <c r="B510" s="26" t="s">
        <v>9</v>
      </c>
      <c r="C510" s="27" t="s">
        <v>69</v>
      </c>
      <c r="D510" s="27">
        <v>100</v>
      </c>
      <c r="E510" s="27"/>
      <c r="F510" s="27" t="s">
        <v>129</v>
      </c>
      <c r="G510" s="30">
        <v>8.4000000000000005E-2</v>
      </c>
      <c r="H510" s="28" t="s">
        <v>63</v>
      </c>
      <c r="I510" s="38">
        <v>5500000</v>
      </c>
      <c r="J510" s="29" t="s">
        <v>56</v>
      </c>
      <c r="L510" s="8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</row>
    <row r="511" spans="2:68" s="2" customFormat="1" ht="18.75" x14ac:dyDescent="0.3">
      <c r="B511" s="26" t="s">
        <v>10</v>
      </c>
      <c r="C511" s="27" t="s">
        <v>69</v>
      </c>
      <c r="D511" s="27" t="s">
        <v>246</v>
      </c>
      <c r="E511" s="27"/>
      <c r="F511" s="27" t="s">
        <v>250</v>
      </c>
      <c r="G511" s="30">
        <v>0.152</v>
      </c>
      <c r="H511" s="28"/>
      <c r="I511" s="38">
        <v>24000000</v>
      </c>
      <c r="J511" s="29" t="s">
        <v>56</v>
      </c>
      <c r="L511" s="8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</row>
    <row r="512" spans="2:68" s="2" customFormat="1" ht="18.75" x14ac:dyDescent="0.3">
      <c r="B512" s="26" t="s">
        <v>10</v>
      </c>
      <c r="C512" s="27" t="s">
        <v>69</v>
      </c>
      <c r="D512" s="27" t="s">
        <v>247</v>
      </c>
      <c r="E512" s="27"/>
      <c r="F512" s="27" t="s">
        <v>250</v>
      </c>
      <c r="G512" s="30">
        <v>0.157</v>
      </c>
      <c r="H512" s="28"/>
      <c r="I512" s="38">
        <v>24000000</v>
      </c>
      <c r="J512" s="29" t="s">
        <v>56</v>
      </c>
      <c r="L512" s="8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</row>
    <row r="513" spans="2:21" ht="18.75" x14ac:dyDescent="0.3">
      <c r="B513" s="26" t="s">
        <v>9</v>
      </c>
      <c r="C513" s="27" t="s">
        <v>88</v>
      </c>
      <c r="D513" s="27">
        <v>11</v>
      </c>
      <c r="E513" s="27"/>
      <c r="F513" s="27" t="s">
        <v>89</v>
      </c>
      <c r="G513" s="30">
        <v>0.26</v>
      </c>
      <c r="H513" s="28"/>
      <c r="I513" s="38">
        <v>45000</v>
      </c>
      <c r="J513" s="29" t="s">
        <v>56</v>
      </c>
      <c r="K513" s="2"/>
      <c r="L513" s="2"/>
      <c r="M513" s="2"/>
      <c r="N513" s="2"/>
      <c r="O513" s="2"/>
      <c r="P513" s="2"/>
      <c r="Q513" s="2"/>
      <c r="R513" s="2"/>
    </row>
    <row r="514" spans="2:21" ht="18.75" x14ac:dyDescent="0.3">
      <c r="B514" s="26" t="s">
        <v>14</v>
      </c>
      <c r="C514" s="27" t="s">
        <v>28</v>
      </c>
      <c r="D514" s="27">
        <v>2</v>
      </c>
      <c r="E514" s="27" t="s">
        <v>342</v>
      </c>
      <c r="F514" s="27" t="s">
        <v>148</v>
      </c>
      <c r="G514" s="30">
        <v>0.54</v>
      </c>
      <c r="H514" s="28" t="s">
        <v>62</v>
      </c>
      <c r="I514" s="38">
        <v>490000</v>
      </c>
      <c r="J514" s="29" t="s">
        <v>56</v>
      </c>
      <c r="K514" s="2"/>
      <c r="L514" s="2"/>
      <c r="M514" s="2"/>
      <c r="N514" s="2"/>
      <c r="O514" s="2"/>
      <c r="P514" s="2"/>
      <c r="Q514" s="2"/>
      <c r="R514" s="2"/>
    </row>
    <row r="515" spans="2:21" ht="18.75" x14ac:dyDescent="0.3">
      <c r="B515" s="26" t="s">
        <v>14</v>
      </c>
      <c r="C515" s="27" t="s">
        <v>28</v>
      </c>
      <c r="D515" s="27">
        <v>3</v>
      </c>
      <c r="E515" s="26" t="s">
        <v>343</v>
      </c>
      <c r="F515" s="27" t="s">
        <v>138</v>
      </c>
      <c r="G515" s="30">
        <v>0.28100000000000003</v>
      </c>
      <c r="H515" s="28" t="s">
        <v>84</v>
      </c>
      <c r="I515" s="38">
        <v>490000</v>
      </c>
      <c r="J515" s="29" t="s">
        <v>56</v>
      </c>
      <c r="K515" s="2"/>
      <c r="L515" s="2"/>
      <c r="M515" s="2"/>
      <c r="N515" s="2"/>
      <c r="O515" s="2"/>
      <c r="P515" s="2"/>
      <c r="Q515" s="2"/>
      <c r="R515" s="2"/>
    </row>
    <row r="516" spans="2:21" ht="18.75" x14ac:dyDescent="0.3">
      <c r="B516" s="26" t="s">
        <v>14</v>
      </c>
      <c r="C516" s="27" t="s">
        <v>28</v>
      </c>
      <c r="D516" s="27">
        <v>3</v>
      </c>
      <c r="E516" s="26" t="s">
        <v>342</v>
      </c>
      <c r="F516" s="27" t="s">
        <v>148</v>
      </c>
      <c r="G516" s="30">
        <v>9.8490000000000002</v>
      </c>
      <c r="H516" s="28" t="s">
        <v>62</v>
      </c>
      <c r="I516" s="38">
        <v>490000</v>
      </c>
      <c r="J516" s="29" t="s">
        <v>56</v>
      </c>
      <c r="K516" s="2"/>
      <c r="L516" s="2"/>
      <c r="M516" s="2"/>
      <c r="N516" s="2"/>
      <c r="O516" s="2"/>
      <c r="P516" s="2"/>
      <c r="Q516" s="2"/>
      <c r="R516" s="2"/>
    </row>
    <row r="517" spans="2:21" ht="18.75" x14ac:dyDescent="0.3">
      <c r="B517" s="26" t="s">
        <v>14</v>
      </c>
      <c r="C517" s="27" t="s">
        <v>28</v>
      </c>
      <c r="D517" s="27">
        <v>3.5</v>
      </c>
      <c r="E517" s="26" t="s">
        <v>342</v>
      </c>
      <c r="F517" s="27" t="s">
        <v>207</v>
      </c>
      <c r="G517" s="30">
        <v>3.8959999999999999</v>
      </c>
      <c r="H517" s="28" t="s">
        <v>62</v>
      </c>
      <c r="I517" s="38">
        <v>490000</v>
      </c>
      <c r="J517" s="29" t="s">
        <v>56</v>
      </c>
      <c r="K517" s="2"/>
      <c r="L517" s="2"/>
      <c r="M517" s="2"/>
      <c r="N517" s="2"/>
      <c r="O517" s="2"/>
      <c r="P517" s="2"/>
      <c r="Q517" s="2"/>
      <c r="R517" s="2"/>
    </row>
    <row r="518" spans="2:21" ht="18.75" x14ac:dyDescent="0.3">
      <c r="B518" s="26" t="s">
        <v>14</v>
      </c>
      <c r="C518" s="27" t="s">
        <v>28</v>
      </c>
      <c r="D518" s="27">
        <v>4</v>
      </c>
      <c r="E518" s="26" t="s">
        <v>342</v>
      </c>
      <c r="F518" s="27" t="s">
        <v>219</v>
      </c>
      <c r="G518" s="30">
        <v>25.396000000000001</v>
      </c>
      <c r="H518" s="28" t="s">
        <v>62</v>
      </c>
      <c r="I518" s="38">
        <v>490000</v>
      </c>
      <c r="J518" s="29" t="s">
        <v>56</v>
      </c>
    </row>
    <row r="519" spans="2:21" ht="18.75" x14ac:dyDescent="0.3">
      <c r="B519" s="26" t="s">
        <v>14</v>
      </c>
      <c r="C519" s="27" t="s">
        <v>28</v>
      </c>
      <c r="D519" s="27">
        <v>4.5</v>
      </c>
      <c r="E519" s="26" t="s">
        <v>344</v>
      </c>
      <c r="F519" s="27" t="s">
        <v>100</v>
      </c>
      <c r="G519" s="30">
        <v>11.497999999999999</v>
      </c>
      <c r="H519" s="28" t="s">
        <v>62</v>
      </c>
      <c r="I519" s="38">
        <v>390000</v>
      </c>
      <c r="J519" s="29" t="s">
        <v>56</v>
      </c>
    </row>
    <row r="520" spans="2:21" ht="18.75" x14ac:dyDescent="0.3">
      <c r="B520" s="26" t="s">
        <v>14</v>
      </c>
      <c r="C520" s="27" t="s">
        <v>28</v>
      </c>
      <c r="D520" s="27">
        <v>5</v>
      </c>
      <c r="E520" s="26" t="s">
        <v>345</v>
      </c>
      <c r="F520" s="27" t="s">
        <v>106</v>
      </c>
      <c r="G520" s="30">
        <v>8.2799999999999994</v>
      </c>
      <c r="H520" s="28" t="s">
        <v>62</v>
      </c>
      <c r="I520" s="38">
        <v>490000</v>
      </c>
      <c r="J520" s="26" t="s">
        <v>56</v>
      </c>
      <c r="T520" s="1" t="s">
        <v>6</v>
      </c>
    </row>
    <row r="521" spans="2:21" s="3" customFormat="1" ht="18.75" x14ac:dyDescent="0.3">
      <c r="B521" s="26" t="s">
        <v>14</v>
      </c>
      <c r="C521" s="27" t="s">
        <v>28</v>
      </c>
      <c r="D521" s="27">
        <v>6</v>
      </c>
      <c r="E521" s="26" t="s">
        <v>345</v>
      </c>
      <c r="F521" s="27" t="s">
        <v>194</v>
      </c>
      <c r="G521" s="30">
        <v>3.492</v>
      </c>
      <c r="H521" s="28" t="s">
        <v>62</v>
      </c>
      <c r="I521" s="38">
        <v>490000</v>
      </c>
      <c r="J521" s="26" t="s">
        <v>56</v>
      </c>
    </row>
    <row r="522" spans="2:21" s="78" customFormat="1" ht="18.75" x14ac:dyDescent="0.3">
      <c r="B522" s="66" t="s">
        <v>14</v>
      </c>
      <c r="C522" s="67" t="s">
        <v>28</v>
      </c>
      <c r="D522" s="67">
        <v>6</v>
      </c>
      <c r="E522" s="66" t="s">
        <v>345</v>
      </c>
      <c r="F522" s="67" t="s">
        <v>273</v>
      </c>
      <c r="G522" s="81">
        <v>7.75</v>
      </c>
      <c r="H522" s="76" t="s">
        <v>62</v>
      </c>
      <c r="I522" s="70">
        <v>490000</v>
      </c>
      <c r="J522" s="66" t="s">
        <v>56</v>
      </c>
      <c r="K522" s="2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2:21" ht="18.75" x14ac:dyDescent="0.3">
      <c r="B523" s="26" t="s">
        <v>14</v>
      </c>
      <c r="C523" s="27" t="s">
        <v>28</v>
      </c>
      <c r="D523" s="27">
        <v>8</v>
      </c>
      <c r="E523" s="26" t="s">
        <v>345</v>
      </c>
      <c r="F523" s="27" t="s">
        <v>273</v>
      </c>
      <c r="G523" s="30">
        <v>10.888</v>
      </c>
      <c r="H523" s="28" t="s">
        <v>62</v>
      </c>
      <c r="I523" s="38">
        <v>490000</v>
      </c>
      <c r="J523" s="26" t="s">
        <v>56</v>
      </c>
    </row>
    <row r="524" spans="2:21" ht="18.75" x14ac:dyDescent="0.3">
      <c r="B524" s="26" t="s">
        <v>14</v>
      </c>
      <c r="C524" s="27" t="s">
        <v>28</v>
      </c>
      <c r="D524" s="27">
        <v>10</v>
      </c>
      <c r="E524" s="26" t="s">
        <v>346</v>
      </c>
      <c r="F524" s="27" t="s">
        <v>273</v>
      </c>
      <c r="G524" s="30">
        <v>1.732</v>
      </c>
      <c r="H524" s="28" t="s">
        <v>208</v>
      </c>
      <c r="I524" s="38">
        <v>490000</v>
      </c>
      <c r="J524" s="26" t="s">
        <v>56</v>
      </c>
    </row>
    <row r="525" spans="2:21" ht="18.75" x14ac:dyDescent="0.3">
      <c r="B525" s="26" t="s">
        <v>14</v>
      </c>
      <c r="C525" s="27" t="s">
        <v>28</v>
      </c>
      <c r="D525" s="27">
        <v>10</v>
      </c>
      <c r="E525" s="26" t="s">
        <v>345</v>
      </c>
      <c r="F525" s="27" t="s">
        <v>273</v>
      </c>
      <c r="G525" s="30">
        <v>3.8610000000000002</v>
      </c>
      <c r="H525" s="28" t="s">
        <v>62</v>
      </c>
      <c r="I525" s="38">
        <v>490000</v>
      </c>
      <c r="J525" s="26" t="s">
        <v>56</v>
      </c>
    </row>
    <row r="526" spans="2:21" s="87" customFormat="1" ht="18.75" x14ac:dyDescent="0.3">
      <c r="B526" s="83" t="s">
        <v>14</v>
      </c>
      <c r="C526" s="84" t="s">
        <v>28</v>
      </c>
      <c r="D526" s="84">
        <v>10</v>
      </c>
      <c r="E526" s="83" t="s">
        <v>345</v>
      </c>
      <c r="F526" s="84" t="s">
        <v>273</v>
      </c>
      <c r="G526" s="85">
        <v>4.2699999999999996</v>
      </c>
      <c r="H526" s="86" t="s">
        <v>62</v>
      </c>
      <c r="I526" s="92">
        <v>490000</v>
      </c>
      <c r="J526" s="66" t="s">
        <v>56</v>
      </c>
      <c r="K526" s="56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2:21" ht="18.75" x14ac:dyDescent="0.3">
      <c r="B527" s="26" t="s">
        <v>14</v>
      </c>
      <c r="C527" s="27" t="s">
        <v>28</v>
      </c>
      <c r="D527" s="27">
        <v>12</v>
      </c>
      <c r="E527" s="26" t="s">
        <v>345</v>
      </c>
      <c r="F527" s="27" t="s">
        <v>273</v>
      </c>
      <c r="G527" s="30">
        <v>4.0359999999999996</v>
      </c>
      <c r="H527" s="28" t="s">
        <v>62</v>
      </c>
      <c r="I527" s="38">
        <v>490000</v>
      </c>
      <c r="J527" s="26" t="s">
        <v>56</v>
      </c>
    </row>
    <row r="528" spans="2:21" s="2" customFormat="1" ht="18.75" x14ac:dyDescent="0.3">
      <c r="B528" s="26" t="s">
        <v>14</v>
      </c>
      <c r="C528" s="27" t="s">
        <v>28</v>
      </c>
      <c r="D528" s="27">
        <v>14</v>
      </c>
      <c r="E528" s="26" t="s">
        <v>345</v>
      </c>
      <c r="F528" s="27" t="s">
        <v>142</v>
      </c>
      <c r="G528" s="30">
        <v>1.5669999999999999</v>
      </c>
      <c r="H528" s="28" t="s">
        <v>62</v>
      </c>
      <c r="I528" s="38">
        <v>490000</v>
      </c>
      <c r="J528" s="26" t="s">
        <v>56</v>
      </c>
    </row>
    <row r="529" spans="2:21" s="2" customFormat="1" ht="18.75" x14ac:dyDescent="0.3">
      <c r="B529" s="26" t="s">
        <v>14</v>
      </c>
      <c r="C529" s="27" t="s">
        <v>28</v>
      </c>
      <c r="D529" s="27">
        <v>16</v>
      </c>
      <c r="E529" s="26" t="s">
        <v>345</v>
      </c>
      <c r="F529" s="27" t="s">
        <v>142</v>
      </c>
      <c r="G529" s="30">
        <v>7.8959999999999999</v>
      </c>
      <c r="H529" s="28" t="s">
        <v>62</v>
      </c>
      <c r="I529" s="38">
        <v>490000</v>
      </c>
      <c r="J529" s="26" t="s">
        <v>56</v>
      </c>
    </row>
    <row r="530" spans="2:21" s="93" customFormat="1" ht="18.75" x14ac:dyDescent="0.3">
      <c r="B530" s="83" t="s">
        <v>14</v>
      </c>
      <c r="C530" s="84" t="s">
        <v>28</v>
      </c>
      <c r="D530" s="84">
        <v>20</v>
      </c>
      <c r="E530" s="83" t="s">
        <v>345</v>
      </c>
      <c r="F530" s="84" t="s">
        <v>273</v>
      </c>
      <c r="G530" s="85">
        <v>19.733000000000001</v>
      </c>
      <c r="H530" s="86" t="s">
        <v>62</v>
      </c>
      <c r="I530" s="92">
        <v>590000</v>
      </c>
      <c r="J530" s="83" t="s">
        <v>56</v>
      </c>
      <c r="K530" s="56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2:21" s="2" customFormat="1" ht="18.75" x14ac:dyDescent="0.3">
      <c r="B531" s="26" t="s">
        <v>14</v>
      </c>
      <c r="C531" s="27" t="s">
        <v>28</v>
      </c>
      <c r="D531" s="27">
        <v>25</v>
      </c>
      <c r="E531" s="26" t="s">
        <v>347</v>
      </c>
      <c r="F531" s="27" t="s">
        <v>142</v>
      </c>
      <c r="G531" s="30">
        <v>0.372</v>
      </c>
      <c r="H531" s="28" t="s">
        <v>62</v>
      </c>
      <c r="I531" s="38">
        <v>590000</v>
      </c>
      <c r="J531" s="26" t="s">
        <v>56</v>
      </c>
    </row>
    <row r="532" spans="2:21" s="77" customFormat="1" ht="18.75" x14ac:dyDescent="0.3">
      <c r="B532" s="83" t="s">
        <v>14</v>
      </c>
      <c r="C532" s="84" t="s">
        <v>28</v>
      </c>
      <c r="D532" s="84">
        <v>25</v>
      </c>
      <c r="E532" s="83" t="s">
        <v>347</v>
      </c>
      <c r="F532" s="84" t="s">
        <v>142</v>
      </c>
      <c r="G532" s="85">
        <v>3.145</v>
      </c>
      <c r="H532" s="86" t="s">
        <v>62</v>
      </c>
      <c r="I532" s="92">
        <v>590000</v>
      </c>
      <c r="J532" s="83" t="s">
        <v>56</v>
      </c>
      <c r="K532" s="56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2:21" s="2" customFormat="1" ht="18.75" x14ac:dyDescent="0.3">
      <c r="B533" s="26" t="s">
        <v>14</v>
      </c>
      <c r="C533" s="27" t="s">
        <v>28</v>
      </c>
      <c r="D533" s="27">
        <v>30</v>
      </c>
      <c r="E533" s="26" t="s">
        <v>348</v>
      </c>
      <c r="F533" s="27" t="s">
        <v>142</v>
      </c>
      <c r="G533" s="30">
        <v>49.825000000000003</v>
      </c>
      <c r="H533" s="28" t="s">
        <v>62</v>
      </c>
      <c r="I533" s="38">
        <v>590000</v>
      </c>
      <c r="J533" s="26" t="s">
        <v>56</v>
      </c>
    </row>
    <row r="534" spans="2:21" s="2" customFormat="1" ht="18.75" x14ac:dyDescent="0.3">
      <c r="B534" s="26" t="s">
        <v>14</v>
      </c>
      <c r="C534" s="27" t="s">
        <v>28</v>
      </c>
      <c r="D534" s="27">
        <v>40</v>
      </c>
      <c r="E534" s="26" t="s">
        <v>349</v>
      </c>
      <c r="F534" s="27" t="s">
        <v>142</v>
      </c>
      <c r="G534" s="30">
        <v>21.428000000000001</v>
      </c>
      <c r="H534" s="28" t="s">
        <v>62</v>
      </c>
      <c r="I534" s="38">
        <v>590000</v>
      </c>
      <c r="J534" s="26" t="s">
        <v>56</v>
      </c>
    </row>
    <row r="535" spans="2:21" s="44" customFormat="1" ht="18.75" x14ac:dyDescent="0.3">
      <c r="B535" s="26" t="s">
        <v>14</v>
      </c>
      <c r="C535" s="27" t="s">
        <v>28</v>
      </c>
      <c r="D535" s="27">
        <v>45</v>
      </c>
      <c r="E535" s="26" t="s">
        <v>349</v>
      </c>
      <c r="F535" s="27" t="s">
        <v>142</v>
      </c>
      <c r="G535" s="30">
        <v>3.68</v>
      </c>
      <c r="H535" s="28" t="s">
        <v>62</v>
      </c>
      <c r="I535" s="38">
        <v>630000</v>
      </c>
      <c r="J535" s="26" t="s">
        <v>56</v>
      </c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2:21" s="44" customFormat="1" ht="18.75" x14ac:dyDescent="0.3">
      <c r="B536" s="83" t="s">
        <v>14</v>
      </c>
      <c r="C536" s="84" t="s">
        <v>28</v>
      </c>
      <c r="D536" s="84">
        <v>50</v>
      </c>
      <c r="E536" s="83" t="s">
        <v>350</v>
      </c>
      <c r="F536" s="84" t="s">
        <v>142</v>
      </c>
      <c r="G536" s="85">
        <v>10.68</v>
      </c>
      <c r="H536" s="86" t="s">
        <v>62</v>
      </c>
      <c r="I536" s="92">
        <v>630000</v>
      </c>
      <c r="J536" s="83" t="s">
        <v>56</v>
      </c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2:21" s="44" customFormat="1" ht="18.75" x14ac:dyDescent="0.3">
      <c r="B537" s="26" t="s">
        <v>14</v>
      </c>
      <c r="C537" s="42" t="s">
        <v>28</v>
      </c>
      <c r="D537" s="27">
        <v>55</v>
      </c>
      <c r="E537" s="26" t="s">
        <v>350</v>
      </c>
      <c r="F537" s="27" t="s">
        <v>142</v>
      </c>
      <c r="G537" s="30">
        <v>8.4120000000000008</v>
      </c>
      <c r="H537" s="28" t="s">
        <v>62</v>
      </c>
      <c r="I537" s="38">
        <v>630000</v>
      </c>
      <c r="J537" s="26" t="s">
        <v>56</v>
      </c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2:21" s="44" customFormat="1" ht="18.75" x14ac:dyDescent="0.3">
      <c r="B538" s="26" t="s">
        <v>14</v>
      </c>
      <c r="C538" s="42" t="s">
        <v>28</v>
      </c>
      <c r="D538" s="27">
        <v>75</v>
      </c>
      <c r="E538" s="26" t="s">
        <v>352</v>
      </c>
      <c r="F538" s="27" t="s">
        <v>142</v>
      </c>
      <c r="G538" s="30">
        <v>1.89</v>
      </c>
      <c r="H538" s="28" t="s">
        <v>62</v>
      </c>
      <c r="I538" s="38">
        <v>630000</v>
      </c>
      <c r="J538" s="26" t="s">
        <v>56</v>
      </c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2:21" s="44" customFormat="1" ht="18.75" x14ac:dyDescent="0.3">
      <c r="B539" s="83" t="s">
        <v>14</v>
      </c>
      <c r="C539" s="94" t="s">
        <v>41</v>
      </c>
      <c r="D539" s="84">
        <v>2</v>
      </c>
      <c r="E539" s="83" t="s">
        <v>342</v>
      </c>
      <c r="F539" s="84" t="s">
        <v>317</v>
      </c>
      <c r="G539" s="85">
        <v>0.76700000000000002</v>
      </c>
      <c r="H539" s="86" t="s">
        <v>84</v>
      </c>
      <c r="I539" s="92">
        <v>2900000</v>
      </c>
      <c r="J539" s="83" t="s">
        <v>56</v>
      </c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2:21" s="2" customFormat="1" ht="18.75" x14ac:dyDescent="0.3">
      <c r="B540" s="26" t="s">
        <v>14</v>
      </c>
      <c r="C540" s="42" t="s">
        <v>41</v>
      </c>
      <c r="D540" s="27">
        <v>3</v>
      </c>
      <c r="E540" s="26" t="s">
        <v>342</v>
      </c>
      <c r="F540" s="27" t="s">
        <v>317</v>
      </c>
      <c r="G540" s="30">
        <v>0.85499999999999998</v>
      </c>
      <c r="H540" s="28" t="s">
        <v>62</v>
      </c>
      <c r="I540" s="38">
        <v>2600000</v>
      </c>
      <c r="J540" s="26" t="s">
        <v>56</v>
      </c>
      <c r="K540" s="55"/>
    </row>
    <row r="541" spans="2:21" s="2" customFormat="1" ht="18.75" x14ac:dyDescent="0.3">
      <c r="B541" s="26" t="s">
        <v>14</v>
      </c>
      <c r="C541" s="42" t="s">
        <v>41</v>
      </c>
      <c r="D541" s="27">
        <v>20</v>
      </c>
      <c r="E541" s="26" t="s">
        <v>353</v>
      </c>
      <c r="F541" s="27" t="s">
        <v>122</v>
      </c>
      <c r="G541" s="30">
        <v>1.8720000000000001</v>
      </c>
      <c r="H541" s="28" t="s">
        <v>62</v>
      </c>
      <c r="I541" s="38">
        <v>1700000</v>
      </c>
      <c r="J541" s="26" t="s">
        <v>56</v>
      </c>
    </row>
    <row r="542" spans="2:21" s="2" customFormat="1" ht="18.75" x14ac:dyDescent="0.3">
      <c r="B542" s="26" t="s">
        <v>14</v>
      </c>
      <c r="C542" s="42" t="s">
        <v>397</v>
      </c>
      <c r="D542" s="27">
        <v>4</v>
      </c>
      <c r="E542" s="26" t="s">
        <v>398</v>
      </c>
      <c r="F542" s="27"/>
      <c r="G542" s="30">
        <v>12.422000000000001</v>
      </c>
      <c r="H542" s="28" t="s">
        <v>399</v>
      </c>
      <c r="I542" s="38">
        <v>1290000</v>
      </c>
      <c r="J542" s="26" t="s">
        <v>56</v>
      </c>
    </row>
    <row r="543" spans="2:21" s="2" customFormat="1" ht="18.75" x14ac:dyDescent="0.3">
      <c r="B543" s="26" t="s">
        <v>14</v>
      </c>
      <c r="C543" s="42" t="s">
        <v>0</v>
      </c>
      <c r="D543" s="27">
        <v>2</v>
      </c>
      <c r="E543" s="26" t="s">
        <v>342</v>
      </c>
      <c r="F543" s="27" t="s">
        <v>37</v>
      </c>
      <c r="G543" s="30">
        <v>0.78700000000000003</v>
      </c>
      <c r="H543" s="28" t="s">
        <v>62</v>
      </c>
      <c r="I543" s="38">
        <v>690000</v>
      </c>
      <c r="J543" s="26" t="s">
        <v>56</v>
      </c>
    </row>
    <row r="544" spans="2:21" s="2" customFormat="1" ht="18.75" x14ac:dyDescent="0.3">
      <c r="B544" s="26" t="s">
        <v>14</v>
      </c>
      <c r="C544" s="42" t="s">
        <v>0</v>
      </c>
      <c r="D544" s="27">
        <v>2</v>
      </c>
      <c r="E544" s="26" t="s">
        <v>354</v>
      </c>
      <c r="F544" s="27" t="s">
        <v>37</v>
      </c>
      <c r="G544" s="30">
        <v>0.26</v>
      </c>
      <c r="H544" s="28" t="s">
        <v>62</v>
      </c>
      <c r="I544" s="38">
        <v>690000</v>
      </c>
      <c r="J544" s="26" t="s">
        <v>56</v>
      </c>
    </row>
    <row r="545" spans="2:68" s="2" customFormat="1" ht="18.75" x14ac:dyDescent="0.3">
      <c r="B545" s="107" t="s">
        <v>14</v>
      </c>
      <c r="C545" s="108" t="s">
        <v>0</v>
      </c>
      <c r="D545" s="101">
        <v>3</v>
      </c>
      <c r="E545" s="107" t="s">
        <v>342</v>
      </c>
      <c r="F545" s="101" t="s">
        <v>325</v>
      </c>
      <c r="G545" s="85">
        <v>9.4E-2</v>
      </c>
      <c r="H545" s="109" t="s">
        <v>62</v>
      </c>
      <c r="I545" s="99">
        <v>720000</v>
      </c>
      <c r="J545" s="107" t="s">
        <v>56</v>
      </c>
    </row>
    <row r="546" spans="2:68" s="2" customFormat="1" ht="18.75" x14ac:dyDescent="0.3">
      <c r="B546" s="107" t="s">
        <v>14</v>
      </c>
      <c r="C546" s="108" t="s">
        <v>0</v>
      </c>
      <c r="D546" s="101">
        <v>3</v>
      </c>
      <c r="E546" s="107" t="s">
        <v>342</v>
      </c>
      <c r="F546" s="101" t="s">
        <v>328</v>
      </c>
      <c r="G546" s="85">
        <v>3.9119999999999999</v>
      </c>
      <c r="H546" s="109" t="s">
        <v>62</v>
      </c>
      <c r="I546" s="99">
        <v>720000</v>
      </c>
      <c r="J546" s="107" t="s">
        <v>56</v>
      </c>
    </row>
    <row r="547" spans="2:68" s="2" customFormat="1" ht="18.75" x14ac:dyDescent="0.3">
      <c r="B547" s="107" t="s">
        <v>14</v>
      </c>
      <c r="C547" s="108" t="s">
        <v>0</v>
      </c>
      <c r="D547" s="101">
        <v>4</v>
      </c>
      <c r="E547" s="107" t="s">
        <v>342</v>
      </c>
      <c r="F547" s="101" t="s">
        <v>328</v>
      </c>
      <c r="G547" s="85">
        <v>7.1189999999999998</v>
      </c>
      <c r="H547" s="109" t="s">
        <v>62</v>
      </c>
      <c r="I547" s="99">
        <v>720000</v>
      </c>
      <c r="J547" s="107" t="s">
        <v>56</v>
      </c>
    </row>
    <row r="548" spans="2:68" s="2" customFormat="1" ht="18.75" x14ac:dyDescent="0.3">
      <c r="B548" s="107" t="s">
        <v>14</v>
      </c>
      <c r="C548" s="108" t="s">
        <v>0</v>
      </c>
      <c r="D548" s="101">
        <v>4</v>
      </c>
      <c r="E548" s="107" t="s">
        <v>342</v>
      </c>
      <c r="F548" s="101" t="s">
        <v>328</v>
      </c>
      <c r="G548" s="85">
        <v>0.76</v>
      </c>
      <c r="H548" s="109" t="s">
        <v>62</v>
      </c>
      <c r="I548" s="99">
        <v>720000</v>
      </c>
      <c r="J548" s="83" t="s">
        <v>56</v>
      </c>
    </row>
    <row r="549" spans="2:68" s="77" customFormat="1" ht="18.75" x14ac:dyDescent="0.3">
      <c r="B549" s="83" t="s">
        <v>14</v>
      </c>
      <c r="C549" s="94" t="s">
        <v>0</v>
      </c>
      <c r="D549" s="84">
        <v>5</v>
      </c>
      <c r="E549" s="83" t="s">
        <v>345</v>
      </c>
      <c r="F549" s="84" t="s">
        <v>245</v>
      </c>
      <c r="G549" s="85">
        <v>7.7779999999999996</v>
      </c>
      <c r="H549" s="86" t="s">
        <v>62</v>
      </c>
      <c r="I549" s="99">
        <v>690000</v>
      </c>
      <c r="J549" s="83" t="s">
        <v>56</v>
      </c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2:68" s="2" customFormat="1" ht="18.75" x14ac:dyDescent="0.3">
      <c r="B550" s="107" t="s">
        <v>14</v>
      </c>
      <c r="C550" s="108" t="s">
        <v>0</v>
      </c>
      <c r="D550" s="101">
        <v>6</v>
      </c>
      <c r="E550" s="107" t="s">
        <v>345</v>
      </c>
      <c r="F550" s="101" t="s">
        <v>328</v>
      </c>
      <c r="G550" s="85">
        <v>6.3049999999999997</v>
      </c>
      <c r="H550" s="109" t="s">
        <v>62</v>
      </c>
      <c r="I550" s="99">
        <v>720000</v>
      </c>
      <c r="J550" s="83" t="s">
        <v>56</v>
      </c>
    </row>
    <row r="551" spans="2:68" s="2" customFormat="1" ht="18.75" x14ac:dyDescent="0.3">
      <c r="B551" s="26" t="s">
        <v>14</v>
      </c>
      <c r="C551" s="42" t="s">
        <v>0</v>
      </c>
      <c r="D551" s="27">
        <v>8</v>
      </c>
      <c r="E551" s="26" t="s">
        <v>345</v>
      </c>
      <c r="F551" s="24" t="s">
        <v>36</v>
      </c>
      <c r="G551" s="30">
        <v>5.2590000000000003</v>
      </c>
      <c r="H551" s="28" t="s">
        <v>62</v>
      </c>
      <c r="I551" s="38">
        <v>690000</v>
      </c>
      <c r="J551" s="26" t="s">
        <v>56</v>
      </c>
      <c r="K551" s="3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</row>
    <row r="552" spans="2:68" s="2" customFormat="1" ht="18.75" x14ac:dyDescent="0.3">
      <c r="B552" s="107" t="s">
        <v>14</v>
      </c>
      <c r="C552" s="108" t="s">
        <v>0</v>
      </c>
      <c r="D552" s="101">
        <v>10</v>
      </c>
      <c r="E552" s="107" t="s">
        <v>345</v>
      </c>
      <c r="F552" s="101" t="s">
        <v>328</v>
      </c>
      <c r="G552" s="85">
        <v>7.88</v>
      </c>
      <c r="H552" s="109" t="s">
        <v>62</v>
      </c>
      <c r="I552" s="99">
        <v>720000</v>
      </c>
      <c r="J552" s="83" t="s">
        <v>56</v>
      </c>
    </row>
    <row r="553" spans="2:68" ht="18.75" x14ac:dyDescent="0.3">
      <c r="B553" s="26" t="s">
        <v>14</v>
      </c>
      <c r="C553" s="42" t="s">
        <v>0</v>
      </c>
      <c r="D553" s="27">
        <v>12</v>
      </c>
      <c r="E553" s="26" t="s">
        <v>345</v>
      </c>
      <c r="F553" s="24" t="s">
        <v>36</v>
      </c>
      <c r="G553" s="30">
        <v>2.427</v>
      </c>
      <c r="H553" s="28" t="s">
        <v>62</v>
      </c>
      <c r="I553" s="38">
        <v>690000</v>
      </c>
      <c r="J553" s="26" t="s">
        <v>56</v>
      </c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</row>
    <row r="554" spans="2:68" s="2" customFormat="1" ht="18.75" x14ac:dyDescent="0.3">
      <c r="B554" s="26" t="s">
        <v>14</v>
      </c>
      <c r="C554" s="42" t="s">
        <v>0</v>
      </c>
      <c r="D554" s="27">
        <v>14</v>
      </c>
      <c r="E554" s="26" t="s">
        <v>345</v>
      </c>
      <c r="F554" s="24" t="s">
        <v>36</v>
      </c>
      <c r="G554" s="30">
        <v>0.82499999999999996</v>
      </c>
      <c r="H554" s="28" t="s">
        <v>62</v>
      </c>
      <c r="I554" s="38">
        <v>690000</v>
      </c>
      <c r="J554" s="26" t="s">
        <v>56</v>
      </c>
      <c r="L554" s="2" t="s">
        <v>6</v>
      </c>
    </row>
    <row r="555" spans="2:68" s="2" customFormat="1" ht="18.75" x14ac:dyDescent="0.3">
      <c r="B555" s="26" t="s">
        <v>14</v>
      </c>
      <c r="C555" s="42" t="s">
        <v>0</v>
      </c>
      <c r="D555" s="27">
        <v>16</v>
      </c>
      <c r="E555" s="26" t="s">
        <v>345</v>
      </c>
      <c r="F555" s="24" t="s">
        <v>36</v>
      </c>
      <c r="G555" s="30">
        <v>13.638</v>
      </c>
      <c r="H555" s="28" t="s">
        <v>62</v>
      </c>
      <c r="I555" s="38">
        <v>690000</v>
      </c>
      <c r="J555" s="26" t="s">
        <v>56</v>
      </c>
    </row>
    <row r="556" spans="2:68" s="2" customFormat="1" ht="18.75" x14ac:dyDescent="0.3">
      <c r="B556" s="26" t="s">
        <v>14</v>
      </c>
      <c r="C556" s="42" t="s">
        <v>0</v>
      </c>
      <c r="D556" s="27">
        <v>18</v>
      </c>
      <c r="E556" s="26" t="s">
        <v>355</v>
      </c>
      <c r="F556" s="24" t="s">
        <v>36</v>
      </c>
      <c r="G556" s="30">
        <v>1.145</v>
      </c>
      <c r="H556" s="28" t="s">
        <v>62</v>
      </c>
      <c r="I556" s="38">
        <v>690000</v>
      </c>
      <c r="J556" s="26" t="s">
        <v>56</v>
      </c>
    </row>
    <row r="557" spans="2:68" s="2" customFormat="1" ht="18.75" x14ac:dyDescent="0.3">
      <c r="B557" s="26" t="s">
        <v>14</v>
      </c>
      <c r="C557" s="42" t="s">
        <v>0</v>
      </c>
      <c r="D557" s="27">
        <v>20</v>
      </c>
      <c r="E557" s="26" t="s">
        <v>345</v>
      </c>
      <c r="F557" s="27" t="s">
        <v>103</v>
      </c>
      <c r="G557" s="30">
        <v>5.5579999999999998</v>
      </c>
      <c r="H557" s="28" t="s">
        <v>62</v>
      </c>
      <c r="I557" s="38">
        <v>690000</v>
      </c>
      <c r="J557" s="26" t="s">
        <v>56</v>
      </c>
    </row>
    <row r="558" spans="2:68" s="2" customFormat="1" ht="18.75" x14ac:dyDescent="0.3">
      <c r="B558" s="26" t="s">
        <v>14</v>
      </c>
      <c r="C558" s="42" t="s">
        <v>0</v>
      </c>
      <c r="D558" s="27">
        <v>25</v>
      </c>
      <c r="E558" s="128" t="s">
        <v>347</v>
      </c>
      <c r="F558" s="24" t="s">
        <v>36</v>
      </c>
      <c r="G558" s="30">
        <v>1.3819999999999999</v>
      </c>
      <c r="H558" s="28" t="s">
        <v>62</v>
      </c>
      <c r="I558" s="38">
        <v>690000</v>
      </c>
      <c r="J558" s="26" t="s">
        <v>56</v>
      </c>
    </row>
    <row r="559" spans="2:68" s="2" customFormat="1" ht="18.75" x14ac:dyDescent="0.3">
      <c r="B559" s="107" t="s">
        <v>14</v>
      </c>
      <c r="C559" s="108" t="s">
        <v>0</v>
      </c>
      <c r="D559" s="101">
        <v>30</v>
      </c>
      <c r="E559" s="107" t="s">
        <v>345</v>
      </c>
      <c r="F559" s="101" t="s">
        <v>327</v>
      </c>
      <c r="G559" s="85">
        <v>5.09</v>
      </c>
      <c r="H559" s="109" t="s">
        <v>62</v>
      </c>
      <c r="I559" s="99">
        <v>720000</v>
      </c>
      <c r="J559" s="83" t="s">
        <v>56</v>
      </c>
    </row>
    <row r="560" spans="2:68" s="2" customFormat="1" ht="18.75" x14ac:dyDescent="0.3">
      <c r="B560" s="26" t="s">
        <v>14</v>
      </c>
      <c r="C560" s="42" t="s">
        <v>0</v>
      </c>
      <c r="D560" s="27">
        <v>40</v>
      </c>
      <c r="E560" s="128" t="s">
        <v>356</v>
      </c>
      <c r="F560" s="24" t="s">
        <v>324</v>
      </c>
      <c r="G560" s="30">
        <v>1.4910000000000001</v>
      </c>
      <c r="H560" s="28" t="s">
        <v>62</v>
      </c>
      <c r="I560" s="38">
        <v>690000</v>
      </c>
      <c r="J560" s="26" t="s">
        <v>56</v>
      </c>
    </row>
    <row r="561" spans="2:13" s="2" customFormat="1" ht="18.75" x14ac:dyDescent="0.3">
      <c r="B561" s="107" t="s">
        <v>14</v>
      </c>
      <c r="C561" s="108" t="s">
        <v>0</v>
      </c>
      <c r="D561" s="101">
        <v>45</v>
      </c>
      <c r="E561" s="107" t="s">
        <v>357</v>
      </c>
      <c r="F561" s="101" t="s">
        <v>327</v>
      </c>
      <c r="G561" s="85">
        <v>1.74</v>
      </c>
      <c r="H561" s="109" t="s">
        <v>62</v>
      </c>
      <c r="I561" s="99">
        <v>720000</v>
      </c>
      <c r="J561" s="83" t="s">
        <v>56</v>
      </c>
    </row>
    <row r="562" spans="2:13" s="2" customFormat="1" ht="18.75" x14ac:dyDescent="0.3">
      <c r="B562" s="107" t="s">
        <v>14</v>
      </c>
      <c r="C562" s="108" t="s">
        <v>0</v>
      </c>
      <c r="D562" s="101">
        <v>60</v>
      </c>
      <c r="E562" s="107" t="s">
        <v>351</v>
      </c>
      <c r="F562" s="101" t="s">
        <v>327</v>
      </c>
      <c r="G562" s="85">
        <v>3.11</v>
      </c>
      <c r="H562" s="109" t="s">
        <v>62</v>
      </c>
      <c r="I562" s="99">
        <v>720000</v>
      </c>
      <c r="J562" s="83" t="s">
        <v>56</v>
      </c>
    </row>
    <row r="563" spans="2:13" s="2" customFormat="1" ht="18.75" x14ac:dyDescent="0.3">
      <c r="B563" s="83" t="s">
        <v>14</v>
      </c>
      <c r="C563" s="94" t="s">
        <v>306</v>
      </c>
      <c r="D563" s="84">
        <v>0.5</v>
      </c>
      <c r="E563" s="129" t="s">
        <v>342</v>
      </c>
      <c r="F563" s="101" t="s">
        <v>305</v>
      </c>
      <c r="G563" s="85">
        <v>0.29499999999999998</v>
      </c>
      <c r="H563" s="86" t="s">
        <v>84</v>
      </c>
      <c r="I563" s="92">
        <v>980000</v>
      </c>
      <c r="J563" s="83" t="s">
        <v>56</v>
      </c>
    </row>
    <row r="564" spans="2:13" s="2" customFormat="1" ht="18.75" x14ac:dyDescent="0.3">
      <c r="B564" s="83" t="s">
        <v>14</v>
      </c>
      <c r="C564" s="94" t="s">
        <v>306</v>
      </c>
      <c r="D564" s="84">
        <v>0.8</v>
      </c>
      <c r="E564" s="129" t="s">
        <v>358</v>
      </c>
      <c r="F564" s="101" t="s">
        <v>305</v>
      </c>
      <c r="G564" s="85">
        <v>0.35299999999999998</v>
      </c>
      <c r="H564" s="86" t="s">
        <v>84</v>
      </c>
      <c r="I564" s="92">
        <v>980000</v>
      </c>
      <c r="J564" s="83" t="s">
        <v>56</v>
      </c>
    </row>
    <row r="565" spans="2:13" s="2" customFormat="1" ht="18.75" x14ac:dyDescent="0.3">
      <c r="B565" s="26" t="s">
        <v>14</v>
      </c>
      <c r="C565" s="42" t="s">
        <v>188</v>
      </c>
      <c r="D565" s="27">
        <v>1.5</v>
      </c>
      <c r="E565" s="128" t="s">
        <v>354</v>
      </c>
      <c r="F565" s="24" t="s">
        <v>298</v>
      </c>
      <c r="G565" s="30">
        <v>7.3999999999999996E-2</v>
      </c>
      <c r="H565" s="28" t="s">
        <v>288</v>
      </c>
      <c r="I565" s="38">
        <v>480000</v>
      </c>
      <c r="J565" s="26" t="s">
        <v>56</v>
      </c>
    </row>
    <row r="566" spans="2:13" s="2" customFormat="1" ht="18.75" x14ac:dyDescent="0.3">
      <c r="B566" s="83" t="s">
        <v>14</v>
      </c>
      <c r="C566" s="94" t="s">
        <v>306</v>
      </c>
      <c r="D566" s="84">
        <v>3</v>
      </c>
      <c r="E566" s="129" t="s">
        <v>342</v>
      </c>
      <c r="F566" s="101" t="s">
        <v>315</v>
      </c>
      <c r="G566" s="85">
        <v>0.20300000000000001</v>
      </c>
      <c r="H566" s="86" t="s">
        <v>84</v>
      </c>
      <c r="I566" s="92">
        <v>800000</v>
      </c>
      <c r="J566" s="83" t="s">
        <v>56</v>
      </c>
    </row>
    <row r="567" spans="2:13" s="2" customFormat="1" ht="18.75" x14ac:dyDescent="0.3">
      <c r="B567" s="83" t="s">
        <v>14</v>
      </c>
      <c r="C567" s="94" t="s">
        <v>307</v>
      </c>
      <c r="D567" s="84">
        <v>4</v>
      </c>
      <c r="E567" s="129" t="s">
        <v>342</v>
      </c>
      <c r="F567" s="101" t="s">
        <v>308</v>
      </c>
      <c r="G567" s="85">
        <v>0.42</v>
      </c>
      <c r="H567" s="86" t="s">
        <v>288</v>
      </c>
      <c r="I567" s="92">
        <v>400000</v>
      </c>
      <c r="J567" s="83" t="s">
        <v>56</v>
      </c>
    </row>
    <row r="568" spans="2:13" s="2" customFormat="1" ht="18.75" x14ac:dyDescent="0.3">
      <c r="B568" s="83" t="s">
        <v>14</v>
      </c>
      <c r="C568" s="94" t="s">
        <v>307</v>
      </c>
      <c r="D568" s="84">
        <v>6</v>
      </c>
      <c r="E568" s="129" t="s">
        <v>342</v>
      </c>
      <c r="F568" s="101" t="s">
        <v>308</v>
      </c>
      <c r="G568" s="85">
        <v>0.13200000000000001</v>
      </c>
      <c r="H568" s="86" t="s">
        <v>288</v>
      </c>
      <c r="I568" s="92">
        <v>390000</v>
      </c>
      <c r="J568" s="83" t="s">
        <v>56</v>
      </c>
    </row>
    <row r="569" spans="2:13" s="2" customFormat="1" ht="18.75" x14ac:dyDescent="0.3">
      <c r="B569" s="26" t="s">
        <v>14</v>
      </c>
      <c r="C569" s="42" t="s">
        <v>188</v>
      </c>
      <c r="D569" s="27">
        <v>6</v>
      </c>
      <c r="E569" s="128" t="s">
        <v>345</v>
      </c>
      <c r="F569" s="24"/>
      <c r="G569" s="30">
        <v>5.88</v>
      </c>
      <c r="H569" s="28"/>
      <c r="I569" s="38">
        <v>430000</v>
      </c>
      <c r="J569" s="26" t="s">
        <v>56</v>
      </c>
    </row>
    <row r="570" spans="2:13" s="2" customFormat="1" ht="18.75" x14ac:dyDescent="0.3">
      <c r="B570" s="83" t="s">
        <v>14</v>
      </c>
      <c r="C570" s="94" t="s">
        <v>307</v>
      </c>
      <c r="D570" s="84">
        <v>8</v>
      </c>
      <c r="E570" s="129" t="s">
        <v>345</v>
      </c>
      <c r="F570" s="101" t="s">
        <v>308</v>
      </c>
      <c r="G570" s="85">
        <v>8.266</v>
      </c>
      <c r="H570" s="86"/>
      <c r="I570" s="92">
        <v>315000</v>
      </c>
      <c r="J570" s="83" t="s">
        <v>56</v>
      </c>
    </row>
    <row r="571" spans="2:13" s="2" customFormat="1" ht="18.75" x14ac:dyDescent="0.3">
      <c r="B571" s="26" t="s">
        <v>14</v>
      </c>
      <c r="C571" s="42" t="s">
        <v>188</v>
      </c>
      <c r="D571" s="27">
        <v>8</v>
      </c>
      <c r="E571" s="128" t="s">
        <v>345</v>
      </c>
      <c r="F571" s="24"/>
      <c r="G571" s="30">
        <v>2.82</v>
      </c>
      <c r="H571" s="28"/>
      <c r="I571" s="38">
        <v>430000</v>
      </c>
      <c r="J571" s="26" t="s">
        <v>56</v>
      </c>
    </row>
    <row r="572" spans="2:13" s="2" customFormat="1" ht="18.75" x14ac:dyDescent="0.3">
      <c r="B572" s="83" t="s">
        <v>14</v>
      </c>
      <c r="C572" s="94" t="s">
        <v>307</v>
      </c>
      <c r="D572" s="84">
        <v>10</v>
      </c>
      <c r="E572" s="129" t="s">
        <v>342</v>
      </c>
      <c r="F572" s="101" t="s">
        <v>309</v>
      </c>
      <c r="G572" s="85">
        <v>0.46500000000000002</v>
      </c>
      <c r="H572" s="86" t="s">
        <v>199</v>
      </c>
      <c r="I572" s="92">
        <v>450000</v>
      </c>
      <c r="J572" s="83" t="s">
        <v>56</v>
      </c>
    </row>
    <row r="573" spans="2:13" s="2" customFormat="1" ht="18.75" x14ac:dyDescent="0.3">
      <c r="B573" s="83" t="s">
        <v>14</v>
      </c>
      <c r="C573" s="94" t="s">
        <v>307</v>
      </c>
      <c r="D573" s="84">
        <v>10</v>
      </c>
      <c r="E573" s="129" t="s">
        <v>345</v>
      </c>
      <c r="F573" s="101" t="s">
        <v>309</v>
      </c>
      <c r="G573" s="85">
        <v>2.1800000000000002</v>
      </c>
      <c r="H573" s="86" t="s">
        <v>288</v>
      </c>
      <c r="I573" s="92">
        <v>450000</v>
      </c>
      <c r="J573" s="83" t="s">
        <v>56</v>
      </c>
    </row>
    <row r="574" spans="2:13" s="2" customFormat="1" ht="18.75" x14ac:dyDescent="0.3">
      <c r="B574" s="26" t="s">
        <v>14</v>
      </c>
      <c r="C574" s="42" t="s">
        <v>188</v>
      </c>
      <c r="D574" s="27">
        <v>12</v>
      </c>
      <c r="E574" s="128" t="s">
        <v>345</v>
      </c>
      <c r="F574" s="24"/>
      <c r="G574" s="30">
        <v>1.696</v>
      </c>
      <c r="H574" s="28"/>
      <c r="I574" s="38">
        <v>430000</v>
      </c>
      <c r="J574" s="26" t="s">
        <v>56</v>
      </c>
      <c r="M574" s="2" t="s">
        <v>6</v>
      </c>
    </row>
    <row r="575" spans="2:13" s="2" customFormat="1" ht="18.75" x14ac:dyDescent="0.3">
      <c r="B575" s="83" t="s">
        <v>14</v>
      </c>
      <c r="C575" s="94" t="s">
        <v>307</v>
      </c>
      <c r="D575" s="84">
        <v>16</v>
      </c>
      <c r="E575" s="129" t="s">
        <v>359</v>
      </c>
      <c r="F575" s="101" t="s">
        <v>310</v>
      </c>
      <c r="G575" s="85">
        <v>0.58199999999999996</v>
      </c>
      <c r="H575" s="86" t="s">
        <v>288</v>
      </c>
      <c r="I575" s="92">
        <v>390000</v>
      </c>
      <c r="J575" s="83" t="s">
        <v>56</v>
      </c>
    </row>
    <row r="576" spans="2:13" s="2" customFormat="1" ht="18.75" x14ac:dyDescent="0.3">
      <c r="B576" s="26" t="s">
        <v>14</v>
      </c>
      <c r="C576" s="42" t="s">
        <v>3</v>
      </c>
      <c r="D576" s="27">
        <v>5</v>
      </c>
      <c r="E576" s="128" t="s">
        <v>345</v>
      </c>
      <c r="F576" s="24" t="s">
        <v>190</v>
      </c>
      <c r="G576" s="30">
        <v>2.7469999999999999</v>
      </c>
      <c r="H576" s="28" t="s">
        <v>199</v>
      </c>
      <c r="I576" s="38">
        <v>250000</v>
      </c>
      <c r="J576" s="26" t="s">
        <v>56</v>
      </c>
    </row>
    <row r="577" spans="2:21" s="2" customFormat="1" ht="18.75" x14ac:dyDescent="0.3">
      <c r="B577" s="26" t="s">
        <v>14</v>
      </c>
      <c r="C577" s="42" t="s">
        <v>3</v>
      </c>
      <c r="D577" s="27">
        <v>8</v>
      </c>
      <c r="E577" s="128" t="s">
        <v>345</v>
      </c>
      <c r="F577" s="24" t="s">
        <v>190</v>
      </c>
      <c r="G577" s="30">
        <v>4.4320000000000004</v>
      </c>
      <c r="H577" s="28" t="s">
        <v>199</v>
      </c>
      <c r="I577" s="38">
        <v>230000</v>
      </c>
      <c r="J577" s="26" t="s">
        <v>56</v>
      </c>
    </row>
    <row r="578" spans="2:21" s="2" customFormat="1" ht="18.75" x14ac:dyDescent="0.3">
      <c r="B578" s="26" t="s">
        <v>14</v>
      </c>
      <c r="C578" s="42" t="s">
        <v>3</v>
      </c>
      <c r="D578" s="27">
        <v>12</v>
      </c>
      <c r="E578" s="128" t="s">
        <v>345</v>
      </c>
      <c r="F578" s="24" t="s">
        <v>190</v>
      </c>
      <c r="G578" s="30">
        <v>2.915</v>
      </c>
      <c r="H578" s="28" t="s">
        <v>199</v>
      </c>
      <c r="I578" s="38">
        <v>230000</v>
      </c>
      <c r="J578" s="26" t="s">
        <v>56</v>
      </c>
    </row>
    <row r="579" spans="2:21" s="2" customFormat="1" ht="18.75" x14ac:dyDescent="0.3">
      <c r="B579" s="26" t="s">
        <v>14</v>
      </c>
      <c r="C579" s="42" t="s">
        <v>3</v>
      </c>
      <c r="D579" s="27">
        <v>16</v>
      </c>
      <c r="E579" s="128" t="s">
        <v>345</v>
      </c>
      <c r="F579" s="24" t="s">
        <v>190</v>
      </c>
      <c r="G579" s="30">
        <v>8.9600000000000009</v>
      </c>
      <c r="H579" s="28" t="s">
        <v>199</v>
      </c>
      <c r="I579" s="38">
        <v>230000</v>
      </c>
      <c r="J579" s="26" t="s">
        <v>56</v>
      </c>
    </row>
    <row r="580" spans="2:21" s="2" customFormat="1" ht="18.75" x14ac:dyDescent="0.3">
      <c r="B580" s="26" t="s">
        <v>14</v>
      </c>
      <c r="C580" s="42" t="s">
        <v>3</v>
      </c>
      <c r="D580" s="27">
        <v>20</v>
      </c>
      <c r="E580" s="128"/>
      <c r="F580" s="24" t="s">
        <v>190</v>
      </c>
      <c r="G580" s="30">
        <v>4.22</v>
      </c>
      <c r="H580" s="28" t="s">
        <v>199</v>
      </c>
      <c r="I580" s="38">
        <v>230000</v>
      </c>
      <c r="J580" s="26" t="s">
        <v>56</v>
      </c>
    </row>
    <row r="581" spans="2:21" s="2" customFormat="1" ht="18.75" x14ac:dyDescent="0.3">
      <c r="B581" s="26" t="s">
        <v>14</v>
      </c>
      <c r="C581" s="42" t="s">
        <v>3</v>
      </c>
      <c r="D581" s="27">
        <v>30</v>
      </c>
      <c r="E581" s="128" t="s">
        <v>348</v>
      </c>
      <c r="F581" s="24" t="s">
        <v>190</v>
      </c>
      <c r="G581" s="30">
        <v>1.2589999999999999</v>
      </c>
      <c r="H581" s="28" t="s">
        <v>199</v>
      </c>
      <c r="I581" s="38">
        <v>230000</v>
      </c>
      <c r="J581" s="26" t="s">
        <v>56</v>
      </c>
    </row>
    <row r="582" spans="2:21" s="2" customFormat="1" ht="18.75" x14ac:dyDescent="0.3">
      <c r="B582" s="26" t="s">
        <v>14</v>
      </c>
      <c r="C582" s="42" t="s">
        <v>3</v>
      </c>
      <c r="D582" s="27">
        <v>36</v>
      </c>
      <c r="E582" s="128"/>
      <c r="F582" s="24" t="s">
        <v>190</v>
      </c>
      <c r="G582" s="30">
        <v>5.0999999999999996</v>
      </c>
      <c r="H582" s="28" t="s">
        <v>199</v>
      </c>
      <c r="I582" s="38">
        <v>230000</v>
      </c>
      <c r="J582" s="26" t="s">
        <v>56</v>
      </c>
    </row>
    <row r="583" spans="2:21" s="2" customFormat="1" ht="18.75" x14ac:dyDescent="0.3">
      <c r="B583" s="26" t="s">
        <v>14</v>
      </c>
      <c r="C583" s="42" t="s">
        <v>3</v>
      </c>
      <c r="D583" s="27">
        <v>40</v>
      </c>
      <c r="E583" s="128" t="s">
        <v>360</v>
      </c>
      <c r="F583" s="24" t="s">
        <v>191</v>
      </c>
      <c r="G583" s="30">
        <v>3.5430000000000001</v>
      </c>
      <c r="H583" s="28" t="s">
        <v>199</v>
      </c>
      <c r="I583" s="38">
        <v>230000</v>
      </c>
      <c r="J583" s="26" t="s">
        <v>56</v>
      </c>
    </row>
    <row r="584" spans="2:21" s="2" customFormat="1" ht="18.75" x14ac:dyDescent="0.3">
      <c r="B584" s="26" t="s">
        <v>14</v>
      </c>
      <c r="C584" s="42" t="s">
        <v>3</v>
      </c>
      <c r="D584" s="27">
        <v>50</v>
      </c>
      <c r="E584" s="128" t="s">
        <v>361</v>
      </c>
      <c r="F584" s="24" t="s">
        <v>191</v>
      </c>
      <c r="G584" s="30">
        <v>5.75</v>
      </c>
      <c r="H584" s="28" t="s">
        <v>199</v>
      </c>
      <c r="I584" s="38">
        <v>230000</v>
      </c>
      <c r="J584" s="26" t="s">
        <v>56</v>
      </c>
    </row>
    <row r="585" spans="2:21" s="2" customFormat="1" ht="18.75" x14ac:dyDescent="0.3">
      <c r="B585" s="83" t="s">
        <v>14</v>
      </c>
      <c r="C585" s="94" t="s">
        <v>46</v>
      </c>
      <c r="D585" s="84">
        <v>0.8</v>
      </c>
      <c r="E585" s="129" t="s">
        <v>362</v>
      </c>
      <c r="F585" s="101" t="s">
        <v>311</v>
      </c>
      <c r="G585" s="85">
        <v>5.5E-2</v>
      </c>
      <c r="H585" s="86" t="s">
        <v>322</v>
      </c>
      <c r="I585" s="92">
        <v>360000</v>
      </c>
      <c r="J585" s="83" t="s">
        <v>56</v>
      </c>
      <c r="M585" s="119"/>
    </row>
    <row r="586" spans="2:21" s="2" customFormat="1" ht="18.75" x14ac:dyDescent="0.3">
      <c r="B586" s="26" t="s">
        <v>14</v>
      </c>
      <c r="C586" s="42" t="s">
        <v>46</v>
      </c>
      <c r="D586" s="27">
        <v>1.5</v>
      </c>
      <c r="E586" s="26" t="s">
        <v>363</v>
      </c>
      <c r="F586" s="27" t="s">
        <v>99</v>
      </c>
      <c r="G586" s="30">
        <v>0.23499999999999999</v>
      </c>
      <c r="H586" s="28"/>
      <c r="I586" s="38">
        <v>160000</v>
      </c>
      <c r="J586" s="26" t="s">
        <v>56</v>
      </c>
    </row>
    <row r="587" spans="2:21" s="2" customFormat="1" ht="18.75" x14ac:dyDescent="0.3">
      <c r="B587" s="83" t="s">
        <v>14</v>
      </c>
      <c r="C587" s="94" t="s">
        <v>46</v>
      </c>
      <c r="D587" s="84">
        <v>3</v>
      </c>
      <c r="E587" s="129" t="s">
        <v>364</v>
      </c>
      <c r="F587" s="101" t="s">
        <v>311</v>
      </c>
      <c r="G587" s="85">
        <v>0.41799999999999998</v>
      </c>
      <c r="H587" s="86" t="s">
        <v>322</v>
      </c>
      <c r="I587" s="92">
        <v>360000</v>
      </c>
      <c r="J587" s="83" t="s">
        <v>56</v>
      </c>
    </row>
    <row r="588" spans="2:21" s="2" customFormat="1" ht="18.75" x14ac:dyDescent="0.3">
      <c r="B588" s="26" t="s">
        <v>14</v>
      </c>
      <c r="C588" s="42" t="s">
        <v>46</v>
      </c>
      <c r="D588" s="27">
        <v>3</v>
      </c>
      <c r="E588" s="26" t="s">
        <v>354</v>
      </c>
      <c r="F588" s="27" t="s">
        <v>99</v>
      </c>
      <c r="G588" s="30">
        <v>4.9000000000000004</v>
      </c>
      <c r="H588" s="28" t="s">
        <v>208</v>
      </c>
      <c r="I588" s="38">
        <v>385000</v>
      </c>
      <c r="J588" s="26" t="s">
        <v>56</v>
      </c>
    </row>
    <row r="589" spans="2:21" s="2" customFormat="1" ht="18.75" x14ac:dyDescent="0.3">
      <c r="B589" s="83" t="s">
        <v>14</v>
      </c>
      <c r="C589" s="94" t="s">
        <v>46</v>
      </c>
      <c r="D589" s="84">
        <v>4</v>
      </c>
      <c r="E589" s="129" t="s">
        <v>354</v>
      </c>
      <c r="F589" s="101" t="s">
        <v>333</v>
      </c>
      <c r="G589" s="85">
        <v>9.7000000000000003E-2</v>
      </c>
      <c r="H589" s="86" t="s">
        <v>208</v>
      </c>
      <c r="I589" s="92">
        <v>320000</v>
      </c>
      <c r="J589" s="83" t="s">
        <v>56</v>
      </c>
    </row>
    <row r="590" spans="2:21" s="77" customFormat="1" ht="18.75" x14ac:dyDescent="0.3">
      <c r="B590" s="83" t="s">
        <v>14</v>
      </c>
      <c r="C590" s="94" t="s">
        <v>46</v>
      </c>
      <c r="D590" s="84">
        <v>5</v>
      </c>
      <c r="E590" s="83" t="s">
        <v>345</v>
      </c>
      <c r="F590" s="84" t="s">
        <v>244</v>
      </c>
      <c r="G590" s="85">
        <v>6.306</v>
      </c>
      <c r="H590" s="86" t="s">
        <v>199</v>
      </c>
      <c r="I590" s="92">
        <v>180000</v>
      </c>
      <c r="J590" s="83" t="s">
        <v>56</v>
      </c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2:21" s="77" customFormat="1" ht="18.75" x14ac:dyDescent="0.3">
      <c r="B591" s="83" t="s">
        <v>14</v>
      </c>
      <c r="C591" s="94" t="s">
        <v>46</v>
      </c>
      <c r="D591" s="84">
        <v>5</v>
      </c>
      <c r="E591" s="129" t="s">
        <v>342</v>
      </c>
      <c r="F591" s="101" t="s">
        <v>316</v>
      </c>
      <c r="G591" s="85">
        <v>0.65100000000000002</v>
      </c>
      <c r="H591" s="86" t="s">
        <v>84</v>
      </c>
      <c r="I591" s="92">
        <v>130000</v>
      </c>
      <c r="J591" s="83" t="s">
        <v>56</v>
      </c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2:21" s="2" customFormat="1" ht="18.75" x14ac:dyDescent="0.3">
      <c r="B592" s="5" t="s">
        <v>14</v>
      </c>
      <c r="C592" s="45" t="s">
        <v>109</v>
      </c>
      <c r="D592" s="17">
        <v>16</v>
      </c>
      <c r="E592" s="5" t="s">
        <v>345</v>
      </c>
      <c r="F592" s="17" t="s">
        <v>110</v>
      </c>
      <c r="G592" s="20">
        <v>1.119</v>
      </c>
      <c r="H592" s="28" t="s">
        <v>62</v>
      </c>
      <c r="I592" s="40">
        <v>1300000</v>
      </c>
      <c r="J592" s="5" t="s">
        <v>56</v>
      </c>
    </row>
    <row r="593" spans="2:68" s="2" customFormat="1" ht="18.75" x14ac:dyDescent="0.3">
      <c r="B593" s="102" t="s">
        <v>14</v>
      </c>
      <c r="C593" s="103" t="s">
        <v>15</v>
      </c>
      <c r="D593" s="104">
        <v>7</v>
      </c>
      <c r="E593" s="83" t="s">
        <v>345</v>
      </c>
      <c r="F593" s="104" t="s">
        <v>384</v>
      </c>
      <c r="G593" s="105">
        <v>3.39</v>
      </c>
      <c r="H593" s="86" t="s">
        <v>323</v>
      </c>
      <c r="I593" s="106">
        <v>210000</v>
      </c>
      <c r="J593" s="83" t="s">
        <v>56</v>
      </c>
    </row>
    <row r="594" spans="2:68" s="2" customFormat="1" ht="18.75" x14ac:dyDescent="0.3">
      <c r="B594" s="102" t="s">
        <v>14</v>
      </c>
      <c r="C594" s="103" t="s">
        <v>7</v>
      </c>
      <c r="D594" s="104">
        <v>1.2</v>
      </c>
      <c r="E594" s="102" t="s">
        <v>365</v>
      </c>
      <c r="F594" s="104" t="s">
        <v>313</v>
      </c>
      <c r="G594" s="105">
        <v>0.35</v>
      </c>
      <c r="H594" s="86" t="s">
        <v>84</v>
      </c>
      <c r="I594" s="106">
        <v>700000</v>
      </c>
      <c r="J594" s="83" t="s">
        <v>56</v>
      </c>
    </row>
    <row r="595" spans="2:68" s="2" customFormat="1" ht="18.75" x14ac:dyDescent="0.3">
      <c r="B595" s="102" t="s">
        <v>14</v>
      </c>
      <c r="C595" s="103" t="s">
        <v>7</v>
      </c>
      <c r="D595" s="104">
        <v>2</v>
      </c>
      <c r="E595" s="102" t="s">
        <v>342</v>
      </c>
      <c r="F595" s="104" t="s">
        <v>312</v>
      </c>
      <c r="G595" s="105">
        <v>0.41899999999999998</v>
      </c>
      <c r="H595" s="86" t="s">
        <v>84</v>
      </c>
      <c r="I595" s="106">
        <v>400000</v>
      </c>
      <c r="J595" s="83" t="s">
        <v>56</v>
      </c>
    </row>
    <row r="596" spans="2:68" s="2" customFormat="1" ht="18.75" x14ac:dyDescent="0.3">
      <c r="B596" s="102" t="s">
        <v>14</v>
      </c>
      <c r="C596" s="103">
        <v>20</v>
      </c>
      <c r="D596" s="104">
        <v>70</v>
      </c>
      <c r="E596" s="102" t="s">
        <v>366</v>
      </c>
      <c r="F596" s="104" t="s">
        <v>314</v>
      </c>
      <c r="G596" s="105">
        <v>0.29899999999999999</v>
      </c>
      <c r="H596" s="86" t="s">
        <v>323</v>
      </c>
      <c r="I596" s="106">
        <v>50000</v>
      </c>
      <c r="J596" s="83" t="s">
        <v>56</v>
      </c>
    </row>
    <row r="597" spans="2:68" s="2" customFormat="1" ht="37.5" x14ac:dyDescent="0.3">
      <c r="B597" s="26" t="s">
        <v>26</v>
      </c>
      <c r="C597" s="43" t="s">
        <v>74</v>
      </c>
      <c r="D597" s="27">
        <v>22</v>
      </c>
      <c r="E597" s="27"/>
      <c r="F597" s="27" t="s">
        <v>76</v>
      </c>
      <c r="G597" s="30">
        <v>0.04</v>
      </c>
      <c r="H597" s="28" t="s">
        <v>63</v>
      </c>
      <c r="I597" s="38">
        <v>1500000</v>
      </c>
      <c r="J597" s="26" t="s">
        <v>56</v>
      </c>
    </row>
    <row r="598" spans="2:68" s="2" customFormat="1" ht="18.75" x14ac:dyDescent="0.3">
      <c r="B598" s="26" t="s">
        <v>26</v>
      </c>
      <c r="C598" s="43" t="s">
        <v>73</v>
      </c>
      <c r="D598" s="27">
        <v>30</v>
      </c>
      <c r="E598" s="27"/>
      <c r="F598" s="27" t="s">
        <v>75</v>
      </c>
      <c r="G598" s="30">
        <v>0.42499999999999999</v>
      </c>
      <c r="H598" s="28" t="s">
        <v>63</v>
      </c>
      <c r="I598" s="38">
        <v>1200000</v>
      </c>
      <c r="J598" s="26" t="s">
        <v>56</v>
      </c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</row>
    <row r="599" spans="2:68" ht="18.75" x14ac:dyDescent="0.3">
      <c r="B599" s="26" t="s">
        <v>26</v>
      </c>
      <c r="C599" s="43" t="s">
        <v>91</v>
      </c>
      <c r="D599" s="27">
        <v>10</v>
      </c>
      <c r="E599" s="27"/>
      <c r="F599" s="27" t="s">
        <v>92</v>
      </c>
      <c r="G599" s="30">
        <v>0.11899999999999999</v>
      </c>
      <c r="H599" s="48"/>
      <c r="I599" s="38">
        <v>1500000</v>
      </c>
      <c r="J599" s="26" t="s">
        <v>56</v>
      </c>
      <c r="K599" s="2"/>
    </row>
    <row r="600" spans="2:68" ht="18.75" x14ac:dyDescent="0.3">
      <c r="B600" s="26" t="s">
        <v>26</v>
      </c>
      <c r="C600" s="42" t="s">
        <v>21</v>
      </c>
      <c r="D600" s="27">
        <v>5</v>
      </c>
      <c r="E600" s="27" t="s">
        <v>402</v>
      </c>
      <c r="F600" s="27" t="s">
        <v>181</v>
      </c>
      <c r="G600" s="30">
        <v>7.0999999999999994E-2</v>
      </c>
      <c r="H600" s="31"/>
      <c r="I600" s="38">
        <v>150000</v>
      </c>
      <c r="J600" s="26" t="s">
        <v>56</v>
      </c>
    </row>
    <row r="601" spans="2:68" ht="18.75" x14ac:dyDescent="0.3">
      <c r="B601" s="26" t="s">
        <v>26</v>
      </c>
      <c r="C601" s="27" t="s">
        <v>21</v>
      </c>
      <c r="D601" s="27">
        <v>19</v>
      </c>
      <c r="E601" s="27"/>
      <c r="F601" s="27"/>
      <c r="G601" s="30">
        <v>0.14199999999999999</v>
      </c>
      <c r="H601" s="28" t="s">
        <v>34</v>
      </c>
      <c r="I601" s="38">
        <v>180000</v>
      </c>
      <c r="J601" s="29" t="s">
        <v>56</v>
      </c>
    </row>
    <row r="602" spans="2:68" ht="18.75" x14ac:dyDescent="0.3">
      <c r="B602" s="26" t="s">
        <v>66</v>
      </c>
      <c r="C602" s="42" t="s">
        <v>39</v>
      </c>
      <c r="D602" s="27" t="s">
        <v>67</v>
      </c>
      <c r="E602" s="27"/>
      <c r="F602" s="27"/>
      <c r="G602" s="30">
        <v>80</v>
      </c>
      <c r="H602" s="28"/>
      <c r="I602" s="26" t="s">
        <v>274</v>
      </c>
      <c r="J602" s="26" t="s">
        <v>56</v>
      </c>
    </row>
    <row r="603" spans="2:68" ht="18.75" x14ac:dyDescent="0.3">
      <c r="B603" s="5" t="s">
        <v>20</v>
      </c>
      <c r="C603" s="18" t="s">
        <v>269</v>
      </c>
      <c r="D603" s="18" t="s">
        <v>270</v>
      </c>
      <c r="E603" s="18"/>
      <c r="F603" s="16"/>
      <c r="G603" s="20">
        <v>0.61899999999999999</v>
      </c>
      <c r="H603" s="16"/>
      <c r="I603" s="97">
        <v>150000</v>
      </c>
      <c r="J603" s="21" t="s">
        <v>56</v>
      </c>
    </row>
    <row r="604" spans="2:68" ht="18.75" x14ac:dyDescent="0.3">
      <c r="B604" s="27" t="s">
        <v>9</v>
      </c>
      <c r="C604" s="24" t="s">
        <v>79</v>
      </c>
      <c r="D604" s="24">
        <v>30</v>
      </c>
      <c r="E604" s="24"/>
      <c r="F604" s="25"/>
      <c r="G604" s="30">
        <v>1.4E-2</v>
      </c>
      <c r="H604" s="28" t="s">
        <v>86</v>
      </c>
      <c r="I604" s="39">
        <v>50000</v>
      </c>
      <c r="J604" s="26" t="s">
        <v>56</v>
      </c>
    </row>
    <row r="605" spans="2:68" ht="18.75" x14ac:dyDescent="0.3">
      <c r="B605" s="17" t="s">
        <v>25</v>
      </c>
      <c r="C605" s="17" t="s">
        <v>17</v>
      </c>
      <c r="D605" s="17" t="s">
        <v>42</v>
      </c>
      <c r="E605" s="17"/>
      <c r="F605" s="17" t="s">
        <v>43</v>
      </c>
      <c r="G605" s="20">
        <v>1</v>
      </c>
      <c r="I605" s="40">
        <v>38000</v>
      </c>
      <c r="J605" s="9" t="s">
        <v>56</v>
      </c>
    </row>
    <row r="606" spans="2:68" ht="18.75" x14ac:dyDescent="0.3">
      <c r="B606" s="23" t="s">
        <v>9</v>
      </c>
      <c r="C606" s="23">
        <v>45</v>
      </c>
      <c r="D606" s="23">
        <v>20</v>
      </c>
      <c r="E606" s="23"/>
      <c r="F606" s="5"/>
      <c r="G606" s="20">
        <v>5.6000000000000001E-2</v>
      </c>
      <c r="H606" s="61" t="s">
        <v>63</v>
      </c>
      <c r="I606" s="60">
        <v>80000</v>
      </c>
      <c r="J606" s="9" t="s">
        <v>56</v>
      </c>
    </row>
    <row r="607" spans="2:68" ht="18.75" x14ac:dyDescent="0.3">
      <c r="B607" s="17" t="s">
        <v>9</v>
      </c>
      <c r="C607" s="17" t="s">
        <v>13</v>
      </c>
      <c r="D607" s="17">
        <v>60</v>
      </c>
      <c r="E607" s="17"/>
      <c r="F607" s="5"/>
      <c r="G607" s="20">
        <v>5.1999999999999998E-2</v>
      </c>
      <c r="H607" s="61"/>
      <c r="I607" s="60">
        <v>80000</v>
      </c>
      <c r="J607" s="9" t="s">
        <v>56</v>
      </c>
    </row>
    <row r="608" spans="2:68" ht="18.75" x14ac:dyDescent="0.3">
      <c r="B608" s="18" t="s">
        <v>25</v>
      </c>
      <c r="C608" s="18" t="s">
        <v>7</v>
      </c>
      <c r="D608" s="18" t="s">
        <v>93</v>
      </c>
      <c r="E608" s="18"/>
      <c r="F608" s="18" t="s">
        <v>107</v>
      </c>
      <c r="G608" s="49">
        <v>1.1339999999999999</v>
      </c>
      <c r="H608" s="62" t="s">
        <v>61</v>
      </c>
      <c r="I608" s="40">
        <v>88000</v>
      </c>
      <c r="J608" s="50" t="s">
        <v>56</v>
      </c>
    </row>
    <row r="609" spans="2:10" ht="18.75" x14ac:dyDescent="0.3">
      <c r="B609" s="17" t="s">
        <v>25</v>
      </c>
      <c r="C609" s="17" t="s">
        <v>15</v>
      </c>
      <c r="D609" s="17" t="s">
        <v>44</v>
      </c>
      <c r="E609" s="17"/>
      <c r="F609" s="17" t="s">
        <v>105</v>
      </c>
      <c r="G609" s="20">
        <v>0.3</v>
      </c>
      <c r="H609" s="22"/>
      <c r="I609" s="40">
        <v>80000</v>
      </c>
      <c r="J609" s="9" t="s">
        <v>56</v>
      </c>
    </row>
    <row r="610" spans="2:10" ht="18.75" x14ac:dyDescent="0.3">
      <c r="B610" s="17" t="s">
        <v>20</v>
      </c>
      <c r="C610" s="17">
        <v>20</v>
      </c>
      <c r="D610" s="17" t="s">
        <v>117</v>
      </c>
      <c r="E610" s="17"/>
      <c r="F610" s="5"/>
      <c r="G610" s="20">
        <v>0.47599999999999998</v>
      </c>
      <c r="H610" s="4"/>
      <c r="I610" s="60">
        <v>95000</v>
      </c>
      <c r="J610" s="9" t="s">
        <v>56</v>
      </c>
    </row>
    <row r="611" spans="2:10" ht="18.75" x14ac:dyDescent="0.3">
      <c r="B611" s="17" t="s">
        <v>20</v>
      </c>
      <c r="C611" s="18" t="s">
        <v>319</v>
      </c>
      <c r="D611" s="18">
        <v>16</v>
      </c>
      <c r="E611" s="18"/>
      <c r="F611" s="18" t="s">
        <v>320</v>
      </c>
      <c r="G611" s="20">
        <v>1.1100000000000001</v>
      </c>
      <c r="H611" s="18" t="s">
        <v>6</v>
      </c>
      <c r="I611" s="40">
        <v>500000</v>
      </c>
      <c r="J611" s="9" t="s">
        <v>56</v>
      </c>
    </row>
    <row r="612" spans="2:10" x14ac:dyDescent="0.25">
      <c r="I612" s="1" t="s">
        <v>6</v>
      </c>
    </row>
    <row r="615" spans="2:10" x14ac:dyDescent="0.25">
      <c r="F615" s="1" t="s">
        <v>6</v>
      </c>
    </row>
    <row r="616" spans="2:10" x14ac:dyDescent="0.25">
      <c r="F616" s="1" t="s">
        <v>6</v>
      </c>
    </row>
    <row r="618" spans="2:10" x14ac:dyDescent="0.25">
      <c r="F618" s="1" t="s">
        <v>6</v>
      </c>
    </row>
    <row r="619" spans="2:10" x14ac:dyDescent="0.25">
      <c r="F619" s="1" t="s">
        <v>6</v>
      </c>
      <c r="J619" s="1" t="s">
        <v>6</v>
      </c>
    </row>
  </sheetData>
  <autoFilter ref="B3:BP612" xr:uid="{00000000-0009-0000-0000-000000000000}">
    <sortState xmlns:xlrd2="http://schemas.microsoft.com/office/spreadsheetml/2017/richdata2" ref="B4:BQ595">
      <sortCondition sortBy="cellColor" ref="C3:C595" dxfId="0"/>
    </sortState>
  </autoFilter>
  <sortState xmlns:xlrd2="http://schemas.microsoft.com/office/spreadsheetml/2017/richdata2" ref="B2:BQ608">
    <sortCondition ref="B8:B597"/>
    <sortCondition ref="C8:C597"/>
    <sortCondition ref="D8:D597"/>
  </sortState>
  <mergeCells count="2">
    <mergeCell ref="A2:J2"/>
    <mergeCell ref="A1:J1"/>
  </mergeCells>
  <phoneticPr fontId="22" type="noConversion"/>
  <pageMargins left="0.15748031496062992" right="0.15748031496062992" top="0.15748031496062992" bottom="0.15748031496062992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822"/>
  <sheetViews>
    <sheetView workbookViewId="0">
      <selection activeCell="D14" sqref="D14"/>
    </sheetView>
  </sheetViews>
  <sheetFormatPr defaultRowHeight="15" x14ac:dyDescent="0.25"/>
  <cols>
    <col min="1" max="1" width="8" customWidth="1"/>
    <col min="3" max="3" width="26" customWidth="1"/>
    <col min="4" max="4" width="17.85546875" customWidth="1"/>
    <col min="5" max="5" width="9" customWidth="1"/>
    <col min="6" max="6" width="37.5703125" customWidth="1"/>
    <col min="7" max="7" width="15.140625" customWidth="1"/>
    <col min="8" max="8" width="10.42578125" customWidth="1"/>
    <col min="9" max="9" width="21.5703125" customWidth="1"/>
  </cols>
  <sheetData>
    <row r="1" spans="1:10" ht="44.25" customHeight="1" x14ac:dyDescent="0.25">
      <c r="A1" s="140" t="s">
        <v>412</v>
      </c>
      <c r="B1" s="140"/>
      <c r="C1" s="140"/>
      <c r="D1" s="140"/>
      <c r="E1" s="140"/>
      <c r="F1" s="140"/>
      <c r="G1" s="140"/>
      <c r="H1" s="140"/>
      <c r="I1" s="140"/>
      <c r="J1" s="141"/>
    </row>
    <row r="2" spans="1:10" ht="44.25" customHeight="1" x14ac:dyDescent="0.25">
      <c r="A2" s="138" t="s">
        <v>413</v>
      </c>
      <c r="B2" s="138"/>
      <c r="C2" s="138"/>
      <c r="D2" s="138"/>
      <c r="E2" s="138"/>
      <c r="F2" s="138"/>
      <c r="G2" s="138"/>
      <c r="H2" s="138"/>
      <c r="I2" s="138"/>
      <c r="J2" s="139"/>
    </row>
    <row r="3" spans="1:10" s="96" customFormat="1" ht="18.75" x14ac:dyDescent="0.3">
      <c r="B3" s="126" t="s">
        <v>292</v>
      </c>
      <c r="C3" s="126" t="s">
        <v>278</v>
      </c>
      <c r="D3" s="126" t="s">
        <v>293</v>
      </c>
      <c r="E3" s="126"/>
      <c r="F3" s="127" t="s">
        <v>31</v>
      </c>
      <c r="G3" s="126" t="s">
        <v>294</v>
      </c>
      <c r="H3" s="126"/>
      <c r="I3" s="126" t="s">
        <v>295</v>
      </c>
    </row>
    <row r="4" spans="1:10" ht="15.75" x14ac:dyDescent="0.25">
      <c r="B4" s="130" t="str">
        <f ca="1">IFERROR(__xludf.DUMMYFUNCTION("QUERY(IMPORTRANGE(""1QmUzF3nH-0QNa2ju3a3WJVsfBpC7JfH-qajlxijmSaU"",""Склад!A2:M1300""), ""select Col2, Col3, Col4, Col6, Col9, Col12 where Col9&gt;0.000001"")"),"круг")</f>
        <v>круг</v>
      </c>
      <c r="C4" s="133" t="str">
        <f ca="1">IFERROR(__xludf.DUMMYFUNCTION("""COMPUTED_VALUE"""),"07Х16Н6-Ш ( ЭП288-Ш)")</f>
        <v>07Х16Н6-Ш ( ЭП288-Ш)</v>
      </c>
      <c r="D4" s="121">
        <f ca="1">IFERROR(__xludf.DUMMYFUNCTION("""COMPUTED_VALUE"""),8)</f>
        <v>8</v>
      </c>
      <c r="E4" s="121"/>
      <c r="F4" s="111" t="str">
        <f ca="1">IFERROR(__xludf.DUMMYFUNCTION("""COMPUTED_VALUE"""),"УЗК,  АТП ту 14-1-1660  обточ")</f>
        <v>УЗК,  АТП ту 14-1-1660  обточ</v>
      </c>
      <c r="G4" s="122">
        <f ca="1">IFERROR(__xludf.DUMMYFUNCTION("""COMPUTED_VALUE"""),0.4)</f>
        <v>0.4</v>
      </c>
      <c r="H4" s="122"/>
      <c r="I4" s="113">
        <f ca="1">IFERROR(__xludf.DUMMYFUNCTION("""COMPUTED_VALUE"""),2100000)</f>
        <v>2100000</v>
      </c>
    </row>
    <row r="5" spans="1:10" ht="15.75" x14ac:dyDescent="0.25">
      <c r="B5" s="123" t="str">
        <f ca="1">IFERROR(__xludf.DUMMYFUNCTION("""COMPUTED_VALUE"""),"круг")</f>
        <v>круг</v>
      </c>
      <c r="C5" s="133" t="str">
        <f ca="1">IFERROR(__xludf.DUMMYFUNCTION("""COMPUTED_VALUE"""),"07Х16Н6-Ш ( ЭП288-Ш)")</f>
        <v>07Х16Н6-Ш ( ЭП288-Ш)</v>
      </c>
      <c r="D5" s="124">
        <f ca="1">IFERROR(__xludf.DUMMYFUNCTION("""COMPUTED_VALUE"""),10)</f>
        <v>10</v>
      </c>
      <c r="E5" s="124"/>
      <c r="F5" s="112" t="str">
        <f ca="1">IFERROR(__xludf.DUMMYFUNCTION("""COMPUTED_VALUE"""),"УЗК,  АТП ту 14-1-1660 ")</f>
        <v xml:space="preserve">УЗК,  АТП ту 14-1-1660 </v>
      </c>
      <c r="G5" s="125">
        <f ca="1">IFERROR(__xludf.DUMMYFUNCTION("""COMPUTED_VALUE"""),0.8)</f>
        <v>0.8</v>
      </c>
      <c r="H5" s="125"/>
      <c r="I5" s="131">
        <f ca="1">IFERROR(__xludf.DUMMYFUNCTION("""COMPUTED_VALUE"""),1600000)</f>
        <v>1600000</v>
      </c>
    </row>
    <row r="6" spans="1:10" ht="15.75" x14ac:dyDescent="0.25">
      <c r="B6" s="123" t="str">
        <f ca="1">IFERROR(__xludf.DUMMYFUNCTION("""COMPUTED_VALUE"""),"круг")</f>
        <v>круг</v>
      </c>
      <c r="C6" s="133" t="str">
        <f ca="1">IFERROR(__xludf.DUMMYFUNCTION("""COMPUTED_VALUE"""),"07Х16Н6-Ш ( ЭП288-Ш)")</f>
        <v>07Х16Н6-Ш ( ЭП288-Ш)</v>
      </c>
      <c r="D6" s="124">
        <f ca="1">IFERROR(__xludf.DUMMYFUNCTION("""COMPUTED_VALUE"""),12)</f>
        <v>12</v>
      </c>
      <c r="E6" s="124"/>
      <c r="F6" s="112" t="str">
        <f ca="1">IFERROR(__xludf.DUMMYFUNCTION("""COMPUTED_VALUE"""),"УЗК,  АТП ту 14-1-1660 ")</f>
        <v xml:space="preserve">УЗК,  АТП ту 14-1-1660 </v>
      </c>
      <c r="G6" s="125">
        <f ca="1">IFERROR(__xludf.DUMMYFUNCTION("""COMPUTED_VALUE"""),0.8)</f>
        <v>0.8</v>
      </c>
      <c r="H6" s="125"/>
      <c r="I6" s="131">
        <f ca="1">IFERROR(__xludf.DUMMYFUNCTION("""COMPUTED_VALUE"""),1600000)</f>
        <v>1600000</v>
      </c>
    </row>
    <row r="7" spans="1:10" ht="15.75" x14ac:dyDescent="0.25">
      <c r="B7" s="123" t="str">
        <f ca="1">IFERROR(__xludf.DUMMYFUNCTION("""COMPUTED_VALUE"""),"круг")</f>
        <v>круг</v>
      </c>
      <c r="C7" s="133" t="str">
        <f ca="1">IFERROR(__xludf.DUMMYFUNCTION("""COMPUTED_VALUE"""),"07Х16Н6-Ш ( ЭП288-Ш)")</f>
        <v>07Х16Н6-Ш ( ЭП288-Ш)</v>
      </c>
      <c r="D7" s="124">
        <f ca="1">IFERROR(__xludf.DUMMYFUNCTION("""COMPUTED_VALUE"""),15)</f>
        <v>15</v>
      </c>
      <c r="E7" s="124"/>
      <c r="F7" s="112" t="str">
        <f ca="1">IFERROR(__xludf.DUMMYFUNCTION("""COMPUTED_VALUE"""),"УЗК, обточ АТП ту 14-1-1660 2гп")</f>
        <v>УЗК, обточ АТП ту 14-1-1660 2гп</v>
      </c>
      <c r="G7" s="125">
        <f ca="1">IFERROR(__xludf.DUMMYFUNCTION("""COMPUTED_VALUE"""),0.005)</f>
        <v>5.0000000000000001E-3</v>
      </c>
      <c r="H7" s="125"/>
      <c r="I7" s="131">
        <f ca="1">IFERROR(__xludf.DUMMYFUNCTION("""COMPUTED_VALUE"""),1250000)</f>
        <v>1250000</v>
      </c>
    </row>
    <row r="8" spans="1:10" ht="15.75" x14ac:dyDescent="0.25">
      <c r="B8" s="123" t="str">
        <f ca="1">IFERROR(__xludf.DUMMYFUNCTION("""COMPUTED_VALUE"""),"круг")</f>
        <v>круг</v>
      </c>
      <c r="C8" s="133" t="str">
        <f ca="1">IFERROR(__xludf.DUMMYFUNCTION("""COMPUTED_VALUE"""),"07Х16Н6-Ш ( ЭП288-Ш)")</f>
        <v>07Х16Н6-Ш ( ЭП288-Ш)</v>
      </c>
      <c r="D8" s="124">
        <f ca="1">IFERROR(__xludf.DUMMYFUNCTION("""COMPUTED_VALUE"""),15)</f>
        <v>15</v>
      </c>
      <c r="E8" s="124"/>
      <c r="F8" s="112" t="str">
        <f ca="1">IFERROR(__xludf.DUMMYFUNCTION("""COMPUTED_VALUE"""),"УЗК,  АТП ту 14-1-1660 ")</f>
        <v xml:space="preserve">УЗК,  АТП ту 14-1-1660 </v>
      </c>
      <c r="G8" s="125">
        <f ca="1">IFERROR(__xludf.DUMMYFUNCTION("""COMPUTED_VALUE"""),0.8)</f>
        <v>0.8</v>
      </c>
      <c r="H8" s="125"/>
      <c r="I8" s="131">
        <f ca="1">IFERROR(__xludf.DUMMYFUNCTION("""COMPUTED_VALUE"""),1250000)</f>
        <v>1250000</v>
      </c>
    </row>
    <row r="9" spans="1:10" ht="15.75" x14ac:dyDescent="0.25">
      <c r="B9" s="123" t="str">
        <f ca="1">IFERROR(__xludf.DUMMYFUNCTION("""COMPUTED_VALUE"""),"круг")</f>
        <v>круг</v>
      </c>
      <c r="C9" s="133" t="str">
        <f ca="1">IFERROR(__xludf.DUMMYFUNCTION("""COMPUTED_VALUE"""),"07Х16Н6-Ш ( ЭП288-Ш)")</f>
        <v>07Х16Н6-Ш ( ЭП288-Ш)</v>
      </c>
      <c r="D9" s="124">
        <f ca="1">IFERROR(__xludf.DUMMYFUNCTION("""COMPUTED_VALUE"""),18)</f>
        <v>18</v>
      </c>
      <c r="E9" s="124"/>
      <c r="F9" s="112" t="str">
        <f ca="1">IFERROR(__xludf.DUMMYFUNCTION("""COMPUTED_VALUE"""),"УЗК,  АТП ту 14-1-1660 ")</f>
        <v xml:space="preserve">УЗК,  АТП ту 14-1-1660 </v>
      </c>
      <c r="G9" s="125">
        <f ca="1">IFERROR(__xludf.DUMMYFUNCTION("""COMPUTED_VALUE"""),1.2)</f>
        <v>1.2</v>
      </c>
      <c r="H9" s="125"/>
      <c r="I9" s="131">
        <f ca="1">IFERROR(__xludf.DUMMYFUNCTION("""COMPUTED_VALUE"""),1250000)</f>
        <v>1250000</v>
      </c>
    </row>
    <row r="10" spans="1:10" ht="15.75" x14ac:dyDescent="0.25">
      <c r="B10" s="123" t="str">
        <f ca="1">IFERROR(__xludf.DUMMYFUNCTION("""COMPUTED_VALUE"""),"круг")</f>
        <v>круг</v>
      </c>
      <c r="C10" s="133" t="str">
        <f ca="1">IFERROR(__xludf.DUMMYFUNCTION("""COMPUTED_VALUE"""),"07Х16Н6-Ш ( ЭП288-Ш)")</f>
        <v>07Х16Н6-Ш ( ЭП288-Ш)</v>
      </c>
      <c r="D10" s="124">
        <f ca="1">IFERROR(__xludf.DUMMYFUNCTION("""COMPUTED_VALUE"""),20)</f>
        <v>20</v>
      </c>
      <c r="E10" s="124"/>
      <c r="F10" s="112" t="str">
        <f ca="1">IFERROR(__xludf.DUMMYFUNCTION("""COMPUTED_VALUE"""),"УЗК,  АТП ту 14-1-1660 ")</f>
        <v xml:space="preserve">УЗК,  АТП ту 14-1-1660 </v>
      </c>
      <c r="G10" s="125">
        <f ca="1">IFERROR(__xludf.DUMMYFUNCTION("""COMPUTED_VALUE"""),1.2)</f>
        <v>1.2</v>
      </c>
      <c r="H10" s="125"/>
      <c r="I10" s="131">
        <f ca="1">IFERROR(__xludf.DUMMYFUNCTION("""COMPUTED_VALUE"""),1250000)</f>
        <v>1250000</v>
      </c>
    </row>
    <row r="11" spans="1:10" ht="15.75" x14ac:dyDescent="0.25">
      <c r="B11" s="123" t="str">
        <f ca="1">IFERROR(__xludf.DUMMYFUNCTION("""COMPUTED_VALUE"""),"круг")</f>
        <v>круг</v>
      </c>
      <c r="C11" s="133" t="str">
        <f ca="1">IFERROR(__xludf.DUMMYFUNCTION("""COMPUTED_VALUE"""),"07Х16Н6-Ш ( ЭП288-Ш)")</f>
        <v>07Х16Н6-Ш ( ЭП288-Ш)</v>
      </c>
      <c r="D11" s="124">
        <f ca="1">IFERROR(__xludf.DUMMYFUNCTION("""COMPUTED_VALUE"""),25)</f>
        <v>25</v>
      </c>
      <c r="E11" s="124"/>
      <c r="F11" s="112" t="str">
        <f ca="1">IFERROR(__xludf.DUMMYFUNCTION("""COMPUTED_VALUE"""),"УЗК, обточ АТП ту 14-1-1660 2гп")</f>
        <v>УЗК, обточ АТП ту 14-1-1660 2гп</v>
      </c>
      <c r="G11" s="125">
        <f ca="1">IFERROR(__xludf.DUMMYFUNCTION("""COMPUTED_VALUE"""),0.641999999999999)</f>
        <v>0.64199999999999902</v>
      </c>
      <c r="H11" s="125"/>
      <c r="I11" s="131">
        <f ca="1">IFERROR(__xludf.DUMMYFUNCTION("""COMPUTED_VALUE"""),1250000)</f>
        <v>1250000</v>
      </c>
    </row>
    <row r="12" spans="1:10" ht="15.75" x14ac:dyDescent="0.25">
      <c r="B12" s="123" t="str">
        <f ca="1">IFERROR(__xludf.DUMMYFUNCTION("""COMPUTED_VALUE"""),"круг")</f>
        <v>круг</v>
      </c>
      <c r="C12" s="133" t="str">
        <f ca="1">IFERROR(__xludf.DUMMYFUNCTION("""COMPUTED_VALUE"""),"07Х16Н6-Ш ( ЭП288-Ш)")</f>
        <v>07Х16Н6-Ш ( ЭП288-Ш)</v>
      </c>
      <c r="D12" s="124">
        <f ca="1">IFERROR(__xludf.DUMMYFUNCTION("""COMPUTED_VALUE"""),30)</f>
        <v>30</v>
      </c>
      <c r="E12" s="124"/>
      <c r="F12" s="112" t="str">
        <f ca="1">IFERROR(__xludf.DUMMYFUNCTION("""COMPUTED_VALUE"""),"УЗК, обточ АТП ту 14-1-1660 ")</f>
        <v xml:space="preserve">УЗК, обточ АТП ту 14-1-1660 </v>
      </c>
      <c r="G12" s="125">
        <f ca="1">IFERROR(__xludf.DUMMYFUNCTION("""COMPUTED_VALUE"""),0.603)</f>
        <v>0.60299999999999998</v>
      </c>
      <c r="H12" s="125"/>
      <c r="I12" s="131">
        <f ca="1">IFERROR(__xludf.DUMMYFUNCTION("""COMPUTED_VALUE"""),1100000)</f>
        <v>1100000</v>
      </c>
    </row>
    <row r="13" spans="1:10" ht="15.75" x14ac:dyDescent="0.25">
      <c r="B13" s="123" t="str">
        <f ca="1">IFERROR(__xludf.DUMMYFUNCTION("""COMPUTED_VALUE"""),"круг")</f>
        <v>круг</v>
      </c>
      <c r="C13" s="133" t="str">
        <f ca="1">IFERROR(__xludf.DUMMYFUNCTION("""COMPUTED_VALUE"""),"07Х16Н6-Ш ( ЭП288-Ш)")</f>
        <v>07Х16Н6-Ш ( ЭП288-Ш)</v>
      </c>
      <c r="D13" s="124">
        <f ca="1">IFERROR(__xludf.DUMMYFUNCTION("""COMPUTED_VALUE"""),30)</f>
        <v>30</v>
      </c>
      <c r="E13" s="124"/>
      <c r="F13" s="112" t="str">
        <f ca="1">IFERROR(__xludf.DUMMYFUNCTION("""COMPUTED_VALUE"""),"УЗК,  АТП ту 14-1-1660 ")</f>
        <v xml:space="preserve">УЗК,  АТП ту 14-1-1660 </v>
      </c>
      <c r="G13" s="125">
        <f ca="1">IFERROR(__xludf.DUMMYFUNCTION("""COMPUTED_VALUE"""),1.2)</f>
        <v>1.2</v>
      </c>
      <c r="H13" s="125"/>
      <c r="I13" s="131">
        <f ca="1">IFERROR(__xludf.DUMMYFUNCTION("""COMPUTED_VALUE"""),1250000)</f>
        <v>1250000</v>
      </c>
    </row>
    <row r="14" spans="1:10" ht="15.75" x14ac:dyDescent="0.25">
      <c r="B14" s="123" t="str">
        <f ca="1">IFERROR(__xludf.DUMMYFUNCTION("""COMPUTED_VALUE"""),"круг")</f>
        <v>круг</v>
      </c>
      <c r="C14" s="133" t="str">
        <f ca="1">IFERROR(__xludf.DUMMYFUNCTION("""COMPUTED_VALUE"""),"07Х16Н6-Ш ( ЭП288-Ш)")</f>
        <v>07Х16Н6-Ш ( ЭП288-Ш)</v>
      </c>
      <c r="D14" s="124">
        <f ca="1">IFERROR(__xludf.DUMMYFUNCTION("""COMPUTED_VALUE"""),36)</f>
        <v>36</v>
      </c>
      <c r="E14" s="124"/>
      <c r="F14" s="112" t="str">
        <f ca="1">IFERROR(__xludf.DUMMYFUNCTION("""COMPUTED_VALUE"""),"УЗК, обточ АТП ту 14-1-1660 2гп")</f>
        <v>УЗК, обточ АТП ту 14-1-1660 2гп</v>
      </c>
      <c r="G14" s="125">
        <f ca="1">IFERROR(__xludf.DUMMYFUNCTION("""COMPUTED_VALUE"""),0.828)</f>
        <v>0.82799999999999996</v>
      </c>
      <c r="H14" s="125"/>
      <c r="I14" s="131">
        <f ca="1">IFERROR(__xludf.DUMMYFUNCTION("""COMPUTED_VALUE"""),1100000)</f>
        <v>1100000</v>
      </c>
    </row>
    <row r="15" spans="1:10" ht="15.75" x14ac:dyDescent="0.25">
      <c r="B15" s="123" t="str">
        <f ca="1">IFERROR(__xludf.DUMMYFUNCTION("""COMPUTED_VALUE"""),"круг")</f>
        <v>круг</v>
      </c>
      <c r="C15" s="133" t="str">
        <f ca="1">IFERROR(__xludf.DUMMYFUNCTION("""COMPUTED_VALUE"""),"07Х16Н6-Ш ( ЭП288-Ш)")</f>
        <v>07Х16Н6-Ш ( ЭП288-Ш)</v>
      </c>
      <c r="D15" s="124">
        <f ca="1">IFERROR(__xludf.DUMMYFUNCTION("""COMPUTED_VALUE"""),40)</f>
        <v>40</v>
      </c>
      <c r="E15" s="124"/>
      <c r="F15" s="112" t="str">
        <f ca="1">IFERROR(__xludf.DUMMYFUNCTION("""COMPUTED_VALUE"""),"УЗК, обточ АТП ту 14-1-1660 ")</f>
        <v xml:space="preserve">УЗК, обточ АТП ту 14-1-1660 </v>
      </c>
      <c r="G15" s="125">
        <f ca="1">IFERROR(__xludf.DUMMYFUNCTION("""COMPUTED_VALUE"""),0.354999999999999)</f>
        <v>0.35499999999999898</v>
      </c>
      <c r="H15" s="125"/>
      <c r="I15" s="131">
        <f ca="1">IFERROR(__xludf.DUMMYFUNCTION("""COMPUTED_VALUE"""),1100000)</f>
        <v>1100000</v>
      </c>
    </row>
    <row r="16" spans="1:10" ht="15.75" x14ac:dyDescent="0.25">
      <c r="B16" s="123" t="str">
        <f ca="1">IFERROR(__xludf.DUMMYFUNCTION("""COMPUTED_VALUE"""),"круг")</f>
        <v>круг</v>
      </c>
      <c r="C16" s="133" t="str">
        <f ca="1">IFERROR(__xludf.DUMMYFUNCTION("""COMPUTED_VALUE"""),"07Х16Н6-Ш ( ЭП288-Ш)")</f>
        <v>07Х16Н6-Ш ( ЭП288-Ш)</v>
      </c>
      <c r="D16" s="124">
        <f ca="1">IFERROR(__xludf.DUMMYFUNCTION("""COMPUTED_VALUE"""),40)</f>
        <v>40</v>
      </c>
      <c r="E16" s="124"/>
      <c r="F16" s="112" t="str">
        <f ca="1">IFERROR(__xludf.DUMMYFUNCTION("""COMPUTED_VALUE"""),"УЗК,  АТП ту 14-1-1660 ")</f>
        <v xml:space="preserve">УЗК,  АТП ту 14-1-1660 </v>
      </c>
      <c r="G16" s="125">
        <f ca="1">IFERROR(__xludf.DUMMYFUNCTION("""COMPUTED_VALUE"""),1.2)</f>
        <v>1.2</v>
      </c>
      <c r="H16" s="125"/>
      <c r="I16" s="131">
        <f ca="1">IFERROR(__xludf.DUMMYFUNCTION("""COMPUTED_VALUE"""),1250000)</f>
        <v>1250000</v>
      </c>
    </row>
    <row r="17" spans="2:9" ht="15.75" x14ac:dyDescent="0.25">
      <c r="B17" s="123" t="str">
        <f ca="1">IFERROR(__xludf.DUMMYFUNCTION("""COMPUTED_VALUE"""),"круг")</f>
        <v>круг</v>
      </c>
      <c r="C17" s="133" t="str">
        <f ca="1">IFERROR(__xludf.DUMMYFUNCTION("""COMPUTED_VALUE"""),"07Х16Н6-Ш ( ЭП288-Ш)")</f>
        <v>07Х16Н6-Ш ( ЭП288-Ш)</v>
      </c>
      <c r="D17" s="124">
        <f ca="1">IFERROR(__xludf.DUMMYFUNCTION("""COMPUTED_VALUE"""),45)</f>
        <v>45</v>
      </c>
      <c r="E17" s="124"/>
      <c r="F17" s="112" t="str">
        <f ca="1">IFERROR(__xludf.DUMMYFUNCTION("""COMPUTED_VALUE"""),"УЗК, обточ АТП ту 14-1-1660 2гп")</f>
        <v>УЗК, обточ АТП ту 14-1-1660 2гп</v>
      </c>
      <c r="G17" s="125">
        <f ca="1">IFERROR(__xludf.DUMMYFUNCTION("""COMPUTED_VALUE"""),0.072)</f>
        <v>7.1999999999999995E-2</v>
      </c>
      <c r="H17" s="125"/>
      <c r="I17" s="131">
        <f ca="1">IFERROR(__xludf.DUMMYFUNCTION("""COMPUTED_VALUE"""),1100000)</f>
        <v>1100000</v>
      </c>
    </row>
    <row r="18" spans="2:9" ht="15.75" x14ac:dyDescent="0.25">
      <c r="B18" s="123" t="str">
        <f ca="1">IFERROR(__xludf.DUMMYFUNCTION("""COMPUTED_VALUE"""),"круг")</f>
        <v>круг</v>
      </c>
      <c r="C18" s="133" t="str">
        <f ca="1">IFERROR(__xludf.DUMMYFUNCTION("""COMPUTED_VALUE"""),"07Х16Н6-Ш ( ЭП288-Ш)")</f>
        <v>07Х16Н6-Ш ( ЭП288-Ш)</v>
      </c>
      <c r="D18" s="124">
        <f ca="1">IFERROR(__xludf.DUMMYFUNCTION("""COMPUTED_VALUE"""),45)</f>
        <v>45</v>
      </c>
      <c r="E18" s="124"/>
      <c r="F18" s="112" t="str">
        <f ca="1">IFERROR(__xludf.DUMMYFUNCTION("""COMPUTED_VALUE"""),"УЗК, обточ АТП ту 14-1-1660 ")</f>
        <v xml:space="preserve">УЗК, обточ АТП ту 14-1-1660 </v>
      </c>
      <c r="G18" s="125">
        <f ca="1">IFERROR(__xludf.DUMMYFUNCTION("""COMPUTED_VALUE"""),0.041)</f>
        <v>4.1000000000000002E-2</v>
      </c>
      <c r="H18" s="125"/>
      <c r="I18" s="131">
        <f ca="1">IFERROR(__xludf.DUMMYFUNCTION("""COMPUTED_VALUE"""),1100000)</f>
        <v>1100000</v>
      </c>
    </row>
    <row r="19" spans="2:9" ht="15.75" x14ac:dyDescent="0.25">
      <c r="B19" s="123" t="str">
        <f ca="1">IFERROR(__xludf.DUMMYFUNCTION("""COMPUTED_VALUE"""),"круг")</f>
        <v>круг</v>
      </c>
      <c r="C19" s="133" t="str">
        <f ca="1">IFERROR(__xludf.DUMMYFUNCTION("""COMPUTED_VALUE"""),"07Х16Н6-Ш ( ЭП288-Ш)")</f>
        <v>07Х16Н6-Ш ( ЭП288-Ш)</v>
      </c>
      <c r="D19" s="124">
        <f ca="1">IFERROR(__xludf.DUMMYFUNCTION("""COMPUTED_VALUE"""),45)</f>
        <v>45</v>
      </c>
      <c r="E19" s="124"/>
      <c r="F19" s="112" t="str">
        <f ca="1">IFERROR(__xludf.DUMMYFUNCTION("""COMPUTED_VALUE"""),"УЗК, обточ АТП ту 14-1-1660 ")</f>
        <v xml:space="preserve">УЗК, обточ АТП ту 14-1-1660 </v>
      </c>
      <c r="G19" s="125">
        <f ca="1">IFERROR(__xludf.DUMMYFUNCTION("""COMPUTED_VALUE"""),2.715)</f>
        <v>2.7149999999999999</v>
      </c>
      <c r="H19" s="125"/>
      <c r="I19" s="131">
        <f ca="1">IFERROR(__xludf.DUMMYFUNCTION("""COMPUTED_VALUE"""),1100000)</f>
        <v>1100000</v>
      </c>
    </row>
    <row r="20" spans="2:9" ht="15.75" x14ac:dyDescent="0.25">
      <c r="B20" s="123" t="str">
        <f ca="1">IFERROR(__xludf.DUMMYFUNCTION("""COMPUTED_VALUE"""),"круг")</f>
        <v>круг</v>
      </c>
      <c r="C20" s="133" t="str">
        <f ca="1">IFERROR(__xludf.DUMMYFUNCTION("""COMPUTED_VALUE"""),"07Х16Н6-Ш ( ЭП288-Ш)")</f>
        <v>07Х16Н6-Ш ( ЭП288-Ш)</v>
      </c>
      <c r="D20" s="124">
        <f ca="1">IFERROR(__xludf.DUMMYFUNCTION("""COMPUTED_VALUE"""),50)</f>
        <v>50</v>
      </c>
      <c r="E20" s="124"/>
      <c r="F20" s="112" t="str">
        <f ca="1">IFERROR(__xludf.DUMMYFUNCTION("""COMPUTED_VALUE"""),"УЗК, обточ АТП ту 14-1-1660 ")</f>
        <v xml:space="preserve">УЗК, обточ АТП ту 14-1-1660 </v>
      </c>
      <c r="G20" s="125">
        <f ca="1">IFERROR(__xludf.DUMMYFUNCTION("""COMPUTED_VALUE"""),0.085)</f>
        <v>8.5000000000000006E-2</v>
      </c>
      <c r="H20" s="125"/>
      <c r="I20" s="131">
        <f ca="1">IFERROR(__xludf.DUMMYFUNCTION("""COMPUTED_VALUE"""),1100000)</f>
        <v>1100000</v>
      </c>
    </row>
    <row r="21" spans="2:9" ht="15.75" x14ac:dyDescent="0.25">
      <c r="B21" s="123" t="str">
        <f ca="1">IFERROR(__xludf.DUMMYFUNCTION("""COMPUTED_VALUE"""),"круг")</f>
        <v>круг</v>
      </c>
      <c r="C21" s="133" t="str">
        <f ca="1">IFERROR(__xludf.DUMMYFUNCTION("""COMPUTED_VALUE"""),"07Х16Н6-Ш ( ЭП288-Ш)")</f>
        <v>07Х16Н6-Ш ( ЭП288-Ш)</v>
      </c>
      <c r="D21" s="124">
        <f ca="1">IFERROR(__xludf.DUMMYFUNCTION("""COMPUTED_VALUE"""),50)</f>
        <v>50</v>
      </c>
      <c r="E21" s="124"/>
      <c r="F21" s="112" t="str">
        <f ca="1">IFERROR(__xludf.DUMMYFUNCTION("""COMPUTED_VALUE"""),"УЗК, обточ АТП ту 14-1-1660 2гп")</f>
        <v>УЗК, обточ АТП ту 14-1-1660 2гп</v>
      </c>
      <c r="G21" s="125">
        <f ca="1">IFERROR(__xludf.DUMMYFUNCTION("""COMPUTED_VALUE"""),0.236)</f>
        <v>0.23599999999999999</v>
      </c>
      <c r="H21" s="125"/>
      <c r="I21" s="131">
        <f ca="1">IFERROR(__xludf.DUMMYFUNCTION("""COMPUTED_VALUE"""),1100000)</f>
        <v>1100000</v>
      </c>
    </row>
    <row r="22" spans="2:9" ht="15.75" x14ac:dyDescent="0.25">
      <c r="B22" s="123" t="str">
        <f ca="1">IFERROR(__xludf.DUMMYFUNCTION("""COMPUTED_VALUE"""),"круг")</f>
        <v>круг</v>
      </c>
      <c r="C22" s="133" t="str">
        <f ca="1">IFERROR(__xludf.DUMMYFUNCTION("""COMPUTED_VALUE"""),"07Х16Н6-Ш ( ЭП288-Ш)")</f>
        <v>07Х16Н6-Ш ( ЭП288-Ш)</v>
      </c>
      <c r="D22" s="124">
        <f ca="1">IFERROR(__xludf.DUMMYFUNCTION("""COMPUTED_VALUE"""),50)</f>
        <v>50</v>
      </c>
      <c r="E22" s="124"/>
      <c r="F22" s="112" t="str">
        <f ca="1">IFERROR(__xludf.DUMMYFUNCTION("""COMPUTED_VALUE"""),"УЗК, обточ АТП ту 14-1-1660 2гп")</f>
        <v>УЗК, обточ АТП ту 14-1-1660 2гп</v>
      </c>
      <c r="G22" s="125">
        <f ca="1">IFERROR(__xludf.DUMMYFUNCTION("""COMPUTED_VALUE"""),0.808)</f>
        <v>0.80800000000000005</v>
      </c>
      <c r="H22" s="125"/>
      <c r="I22" s="131">
        <f ca="1">IFERROR(__xludf.DUMMYFUNCTION("""COMPUTED_VALUE"""),1100000)</f>
        <v>1100000</v>
      </c>
    </row>
    <row r="23" spans="2:9" ht="15.75" x14ac:dyDescent="0.25">
      <c r="B23" s="123" t="str">
        <f ca="1">IFERROR(__xludf.DUMMYFUNCTION("""COMPUTED_VALUE"""),"круг")</f>
        <v>круг</v>
      </c>
      <c r="C23" s="133" t="str">
        <f ca="1">IFERROR(__xludf.DUMMYFUNCTION("""COMPUTED_VALUE"""),"07Х16Н6-Ш ( ЭП288-Ш)")</f>
        <v>07Х16Н6-Ш ( ЭП288-Ш)</v>
      </c>
      <c r="D23" s="124">
        <f ca="1">IFERROR(__xludf.DUMMYFUNCTION("""COMPUTED_VALUE"""),56)</f>
        <v>56</v>
      </c>
      <c r="E23" s="124"/>
      <c r="F23" s="112" t="str">
        <f ca="1">IFERROR(__xludf.DUMMYFUNCTION("""COMPUTED_VALUE"""),"УЗК, обточ АТП ту 14-1-1660 ")</f>
        <v xml:space="preserve">УЗК, обточ АТП ту 14-1-1660 </v>
      </c>
      <c r="G23" s="125">
        <f ca="1">IFERROR(__xludf.DUMMYFUNCTION("""COMPUTED_VALUE"""),2.686)</f>
        <v>2.6859999999999999</v>
      </c>
      <c r="H23" s="125"/>
      <c r="I23" s="131">
        <f ca="1">IFERROR(__xludf.DUMMYFUNCTION("""COMPUTED_VALUE"""),1100000)</f>
        <v>1100000</v>
      </c>
    </row>
    <row r="24" spans="2:9" ht="15.75" x14ac:dyDescent="0.25">
      <c r="B24" s="123" t="str">
        <f ca="1">IFERROR(__xludf.DUMMYFUNCTION("""COMPUTED_VALUE"""),"круг")</f>
        <v>круг</v>
      </c>
      <c r="C24" s="133" t="str">
        <f ca="1">IFERROR(__xludf.DUMMYFUNCTION("""COMPUTED_VALUE"""),"07Х16Н6-Ш ( ЭП288-Ш)")</f>
        <v>07Х16Н6-Ш ( ЭП288-Ш)</v>
      </c>
      <c r="D24" s="124">
        <f ca="1">IFERROR(__xludf.DUMMYFUNCTION("""COMPUTED_VALUE"""),56)</f>
        <v>56</v>
      </c>
      <c r="E24" s="124"/>
      <c r="F24" s="112" t="str">
        <f ca="1">IFERROR(__xludf.DUMMYFUNCTION("""COMPUTED_VALUE"""),"УЗК, обточ АТП ту 14-1-1660 без РТ")</f>
        <v>УЗК, обточ АТП ту 14-1-1660 без РТ</v>
      </c>
      <c r="G24" s="125">
        <f ca="1">IFERROR(__xludf.DUMMYFUNCTION("""COMPUTED_VALUE"""),0.231)</f>
        <v>0.23100000000000001</v>
      </c>
      <c r="H24" s="125"/>
      <c r="I24" s="131">
        <f ca="1">IFERROR(__xludf.DUMMYFUNCTION("""COMPUTED_VALUE"""),1100000)</f>
        <v>1100000</v>
      </c>
    </row>
    <row r="25" spans="2:9" ht="15.75" x14ac:dyDescent="0.25">
      <c r="B25" s="123" t="str">
        <f ca="1">IFERROR(__xludf.DUMMYFUNCTION("""COMPUTED_VALUE"""),"круг")</f>
        <v>круг</v>
      </c>
      <c r="C25" s="133" t="str">
        <f ca="1">IFERROR(__xludf.DUMMYFUNCTION("""COMPUTED_VALUE"""),"07Х16Н6-Ш ( ЭП288-Ш)")</f>
        <v>07Х16Н6-Ш ( ЭП288-Ш)</v>
      </c>
      <c r="D25" s="124">
        <f ca="1">IFERROR(__xludf.DUMMYFUNCTION("""COMPUTED_VALUE"""),56)</f>
        <v>56</v>
      </c>
      <c r="E25" s="124"/>
      <c r="F25" s="112" t="str">
        <f ca="1">IFERROR(__xludf.DUMMYFUNCTION("""COMPUTED_VALUE"""),"УЗК, обточ АТП ту 14-1-1660 2гп")</f>
        <v>УЗК, обточ АТП ту 14-1-1660 2гп</v>
      </c>
      <c r="G25" s="125">
        <f ca="1">IFERROR(__xludf.DUMMYFUNCTION("""COMPUTED_VALUE"""),0.82)</f>
        <v>0.82</v>
      </c>
      <c r="H25" s="125"/>
      <c r="I25" s="131">
        <f ca="1">IFERROR(__xludf.DUMMYFUNCTION("""COMPUTED_VALUE"""),1100000)</f>
        <v>1100000</v>
      </c>
    </row>
    <row r="26" spans="2:9" ht="15.75" x14ac:dyDescent="0.25">
      <c r="B26" s="123" t="str">
        <f ca="1">IFERROR(__xludf.DUMMYFUNCTION("""COMPUTED_VALUE"""),"круг")</f>
        <v>круг</v>
      </c>
      <c r="C26" s="133" t="str">
        <f ca="1">IFERROR(__xludf.DUMMYFUNCTION("""COMPUTED_VALUE"""),"07Х16Н6-Ш ( ЭП288-Ш)")</f>
        <v>07Х16Н6-Ш ( ЭП288-Ш)</v>
      </c>
      <c r="D26" s="124">
        <f ca="1">IFERROR(__xludf.DUMMYFUNCTION("""COMPUTED_VALUE"""),56)</f>
        <v>56</v>
      </c>
      <c r="E26" s="124"/>
      <c r="F26" s="112" t="str">
        <f ca="1">IFERROR(__xludf.DUMMYFUNCTION("""COMPUTED_VALUE"""),"УЗК, обточ АТП ту 14-1-1660 2гп")</f>
        <v>УЗК, обточ АТП ту 14-1-1660 2гп</v>
      </c>
      <c r="G26" s="125">
        <f ca="1">IFERROR(__xludf.DUMMYFUNCTION("""COMPUTED_VALUE"""),2.575)</f>
        <v>2.5750000000000002</v>
      </c>
      <c r="H26" s="125"/>
      <c r="I26" s="131">
        <f ca="1">IFERROR(__xludf.DUMMYFUNCTION("""COMPUTED_VALUE"""),1100000)</f>
        <v>1100000</v>
      </c>
    </row>
    <row r="27" spans="2:9" ht="15.75" x14ac:dyDescent="0.25">
      <c r="B27" s="123" t="str">
        <f ca="1">IFERROR(__xludf.DUMMYFUNCTION("""COMPUTED_VALUE"""),"круг")</f>
        <v>круг</v>
      </c>
      <c r="C27" s="133" t="str">
        <f ca="1">IFERROR(__xludf.DUMMYFUNCTION("""COMPUTED_VALUE"""),"07Х16Н6-Ш ( ЭП288-Ш)")</f>
        <v>07Х16Н6-Ш ( ЭП288-Ш)</v>
      </c>
      <c r="D27" s="124">
        <f ca="1">IFERROR(__xludf.DUMMYFUNCTION("""COMPUTED_VALUE"""),56)</f>
        <v>56</v>
      </c>
      <c r="E27" s="124"/>
      <c r="F27" s="112" t="str">
        <f ca="1">IFERROR(__xludf.DUMMYFUNCTION("""COMPUTED_VALUE"""),"УЗК, обточ АТП ту 14-1-1660 ")</f>
        <v xml:space="preserve">УЗК, обточ АТП ту 14-1-1660 </v>
      </c>
      <c r="G27" s="125">
        <f ca="1">IFERROR(__xludf.DUMMYFUNCTION("""COMPUTED_VALUE"""),0.2)</f>
        <v>0.2</v>
      </c>
      <c r="H27" s="125"/>
      <c r="I27" s="131">
        <f ca="1">IFERROR(__xludf.DUMMYFUNCTION("""COMPUTED_VALUE"""),1100000)</f>
        <v>1100000</v>
      </c>
    </row>
    <row r="28" spans="2:9" ht="15.75" x14ac:dyDescent="0.25">
      <c r="B28" s="123" t="str">
        <f ca="1">IFERROR(__xludf.DUMMYFUNCTION("""COMPUTED_VALUE"""),"круг")</f>
        <v>круг</v>
      </c>
      <c r="C28" s="133" t="str">
        <f ca="1">IFERROR(__xludf.DUMMYFUNCTION("""COMPUTED_VALUE"""),"07Х16Н6-Ш ( ЭП288-Ш)")</f>
        <v>07Х16Н6-Ш ( ЭП288-Ш)</v>
      </c>
      <c r="D28" s="124">
        <f ca="1">IFERROR(__xludf.DUMMYFUNCTION("""COMPUTED_VALUE"""),60)</f>
        <v>60</v>
      </c>
      <c r="E28" s="124"/>
      <c r="F28" s="112" t="str">
        <f ca="1">IFERROR(__xludf.DUMMYFUNCTION("""COMPUTED_VALUE"""),"УЗК, обточ АТП ту 14-1-1660 2гп")</f>
        <v>УЗК, обточ АТП ту 14-1-1660 2гп</v>
      </c>
      <c r="G28" s="125">
        <f ca="1">IFERROR(__xludf.DUMMYFUNCTION("""COMPUTED_VALUE"""),0.016)</f>
        <v>1.6E-2</v>
      </c>
      <c r="H28" s="125"/>
      <c r="I28" s="131">
        <f ca="1">IFERROR(__xludf.DUMMYFUNCTION("""COMPUTED_VALUE"""),1100000)</f>
        <v>1100000</v>
      </c>
    </row>
    <row r="29" spans="2:9" ht="15.75" x14ac:dyDescent="0.25">
      <c r="B29" s="123" t="str">
        <f ca="1">IFERROR(__xludf.DUMMYFUNCTION("""COMPUTED_VALUE"""),"круг")</f>
        <v>круг</v>
      </c>
      <c r="C29" s="133" t="str">
        <f ca="1">IFERROR(__xludf.DUMMYFUNCTION("""COMPUTED_VALUE"""),"07Х16Н6-Ш ( ЭП288-Ш)")</f>
        <v>07Х16Н6-Ш ( ЭП288-Ш)</v>
      </c>
      <c r="D29" s="124">
        <f ca="1">IFERROR(__xludf.DUMMYFUNCTION("""COMPUTED_VALUE"""),60)</f>
        <v>60</v>
      </c>
      <c r="E29" s="124"/>
      <c r="F29" s="112" t="str">
        <f ca="1">IFERROR(__xludf.DUMMYFUNCTION("""COMPUTED_VALUE"""),"УЗК, обточ АТП ту 14-1-1660 ")</f>
        <v xml:space="preserve">УЗК, обточ АТП ту 14-1-1660 </v>
      </c>
      <c r="G29" s="125">
        <f ca="1">IFERROR(__xludf.DUMMYFUNCTION("""COMPUTED_VALUE"""),0.157)</f>
        <v>0.157</v>
      </c>
      <c r="H29" s="125"/>
      <c r="I29" s="131">
        <f ca="1">IFERROR(__xludf.DUMMYFUNCTION("""COMPUTED_VALUE"""),1100000)</f>
        <v>1100000</v>
      </c>
    </row>
    <row r="30" spans="2:9" ht="15.75" x14ac:dyDescent="0.25">
      <c r="B30" s="123" t="str">
        <f ca="1">IFERROR(__xludf.DUMMYFUNCTION("""COMPUTED_VALUE"""),"круг")</f>
        <v>круг</v>
      </c>
      <c r="C30" s="133" t="str">
        <f ca="1">IFERROR(__xludf.DUMMYFUNCTION("""COMPUTED_VALUE"""),"07Х16Н6-Ш ( ЭП288-Ш)")</f>
        <v>07Х16Н6-Ш ( ЭП288-Ш)</v>
      </c>
      <c r="D30" s="124">
        <f ca="1">IFERROR(__xludf.DUMMYFUNCTION("""COMPUTED_VALUE"""),60)</f>
        <v>60</v>
      </c>
      <c r="E30" s="124"/>
      <c r="F30" s="112" t="str">
        <f ca="1">IFERROR(__xludf.DUMMYFUNCTION("""COMPUTED_VALUE"""),"УЗК,  АТП ту 14-1-1660 ")</f>
        <v xml:space="preserve">УЗК,  АТП ту 14-1-1660 </v>
      </c>
      <c r="G30" s="125">
        <f ca="1">IFERROR(__xludf.DUMMYFUNCTION("""COMPUTED_VALUE"""),1.6)</f>
        <v>1.6</v>
      </c>
      <c r="H30" s="125"/>
      <c r="I30" s="131">
        <f ca="1">IFERROR(__xludf.DUMMYFUNCTION("""COMPUTED_VALUE"""),1250000)</f>
        <v>1250000</v>
      </c>
    </row>
    <row r="31" spans="2:9" ht="15.75" x14ac:dyDescent="0.25">
      <c r="B31" s="123" t="str">
        <f ca="1">IFERROR(__xludf.DUMMYFUNCTION("""COMPUTED_VALUE"""),"круг")</f>
        <v>круг</v>
      </c>
      <c r="C31" s="133" t="str">
        <f ca="1">IFERROR(__xludf.DUMMYFUNCTION("""COMPUTED_VALUE"""),"07Х16Н6-Ш ( ЭП288-Ш)")</f>
        <v>07Х16Н6-Ш ( ЭП288-Ш)</v>
      </c>
      <c r="D31" s="124">
        <f ca="1">IFERROR(__xludf.DUMMYFUNCTION("""COMPUTED_VALUE"""),70)</f>
        <v>70</v>
      </c>
      <c r="E31" s="124"/>
      <c r="F31" s="112" t="str">
        <f ca="1">IFERROR(__xludf.DUMMYFUNCTION("""COMPUTED_VALUE"""),"УЗК, обточ АТП ту 14-1-1660 2гп")</f>
        <v>УЗК, обточ АТП ту 14-1-1660 2гп</v>
      </c>
      <c r="G31" s="125">
        <f ca="1">IFERROR(__xludf.DUMMYFUNCTION("""COMPUTED_VALUE"""),0.564)</f>
        <v>0.56399999999999995</v>
      </c>
      <c r="H31" s="125"/>
      <c r="I31" s="131">
        <f ca="1">IFERROR(__xludf.DUMMYFUNCTION("""COMPUTED_VALUE"""),1100000)</f>
        <v>1100000</v>
      </c>
    </row>
    <row r="32" spans="2:9" ht="15.75" x14ac:dyDescent="0.25">
      <c r="B32" s="123" t="str">
        <f ca="1">IFERROR(__xludf.DUMMYFUNCTION("""COMPUTED_VALUE"""),"круг")</f>
        <v>круг</v>
      </c>
      <c r="C32" s="133" t="str">
        <f ca="1">IFERROR(__xludf.DUMMYFUNCTION("""COMPUTED_VALUE"""),"07Х16Н6-Ш ( ЭП288-Ш)")</f>
        <v>07Х16Н6-Ш ( ЭП288-Ш)</v>
      </c>
      <c r="D32" s="124">
        <f ca="1">IFERROR(__xludf.DUMMYFUNCTION("""COMPUTED_VALUE"""),70)</f>
        <v>70</v>
      </c>
      <c r="E32" s="124"/>
      <c r="F32" s="112" t="str">
        <f ca="1">IFERROR(__xludf.DUMMYFUNCTION("""COMPUTED_VALUE"""),"УЗК, обточ АТП ту 14-1-1660 2гп")</f>
        <v>УЗК, обточ АТП ту 14-1-1660 2гп</v>
      </c>
      <c r="G32" s="125">
        <f ca="1">IFERROR(__xludf.DUMMYFUNCTION("""COMPUTED_VALUE"""),0.255)</f>
        <v>0.255</v>
      </c>
      <c r="H32" s="125"/>
      <c r="I32" s="131">
        <f ca="1">IFERROR(__xludf.DUMMYFUNCTION("""COMPUTED_VALUE"""),1100000)</f>
        <v>1100000</v>
      </c>
    </row>
    <row r="33" spans="2:9" ht="15.75" x14ac:dyDescent="0.25">
      <c r="B33" s="123" t="str">
        <f ca="1">IFERROR(__xludf.DUMMYFUNCTION("""COMPUTED_VALUE"""),"круг")</f>
        <v>круг</v>
      </c>
      <c r="C33" s="133" t="str">
        <f ca="1">IFERROR(__xludf.DUMMYFUNCTION("""COMPUTED_VALUE"""),"07Х16Н6-Ш ( ЭП288-Ш)")</f>
        <v>07Х16Н6-Ш ( ЭП288-Ш)</v>
      </c>
      <c r="D33" s="124">
        <f ca="1">IFERROR(__xludf.DUMMYFUNCTION("""COMPUTED_VALUE"""),70)</f>
        <v>70</v>
      </c>
      <c r="E33" s="124"/>
      <c r="F33" s="112" t="str">
        <f ca="1">IFERROR(__xludf.DUMMYFUNCTION("""COMPUTED_VALUE"""),"УЗК, обточ АТП ту 14-1-1660 2гп")</f>
        <v>УЗК, обточ АТП ту 14-1-1660 2гп</v>
      </c>
      <c r="G33" s="125">
        <f ca="1">IFERROR(__xludf.DUMMYFUNCTION("""COMPUTED_VALUE"""),0.615)</f>
        <v>0.61499999999999999</v>
      </c>
      <c r="H33" s="125"/>
      <c r="I33" s="131">
        <f ca="1">IFERROR(__xludf.DUMMYFUNCTION("""COMPUTED_VALUE"""),1100000)</f>
        <v>1100000</v>
      </c>
    </row>
    <row r="34" spans="2:9" ht="15.75" x14ac:dyDescent="0.25">
      <c r="B34" s="123" t="str">
        <f ca="1">IFERROR(__xludf.DUMMYFUNCTION("""COMPUTED_VALUE"""),"круг")</f>
        <v>круг</v>
      </c>
      <c r="C34" s="133" t="str">
        <f ca="1">IFERROR(__xludf.DUMMYFUNCTION("""COMPUTED_VALUE"""),"07Х16Н6-Ш ( ЭП288-Ш)")</f>
        <v>07Х16Н6-Ш ( ЭП288-Ш)</v>
      </c>
      <c r="D34" s="124">
        <f ca="1">IFERROR(__xludf.DUMMYFUNCTION("""COMPUTED_VALUE"""),73)</f>
        <v>73</v>
      </c>
      <c r="E34" s="124"/>
      <c r="F34" s="112" t="str">
        <f ca="1">IFERROR(__xludf.DUMMYFUNCTION("""COMPUTED_VALUE"""),"УЗК, АТП ту 14-1-1660 ")</f>
        <v xml:space="preserve">УЗК, АТП ту 14-1-1660 </v>
      </c>
      <c r="G34" s="125">
        <f ca="1">IFERROR(__xludf.DUMMYFUNCTION("""COMPUTED_VALUE"""),0.538)</f>
        <v>0.53800000000000003</v>
      </c>
      <c r="H34" s="125"/>
      <c r="I34" s="131">
        <f ca="1">IFERROR(__xludf.DUMMYFUNCTION("""COMPUTED_VALUE"""),980000)</f>
        <v>980000</v>
      </c>
    </row>
    <row r="35" spans="2:9" ht="15.75" x14ac:dyDescent="0.25">
      <c r="B35" s="123" t="str">
        <f ca="1">IFERROR(__xludf.DUMMYFUNCTION("""COMPUTED_VALUE"""),"круг")</f>
        <v>круг</v>
      </c>
      <c r="C35" s="133" t="str">
        <f ca="1">IFERROR(__xludf.DUMMYFUNCTION("""COMPUTED_VALUE"""),"07Х16Н6-Ш ( ЭП288-Ш)")</f>
        <v>07Х16Н6-Ш ( ЭП288-Ш)</v>
      </c>
      <c r="D35" s="124">
        <f ca="1">IFERROR(__xludf.DUMMYFUNCTION("""COMPUTED_VALUE"""),80)</f>
        <v>80</v>
      </c>
      <c r="E35" s="124"/>
      <c r="F35" s="112" t="str">
        <f ca="1">IFERROR(__xludf.DUMMYFUNCTION("""COMPUTED_VALUE"""),"УЗК, обточ АТП ту 14-1-1660 2гп")</f>
        <v>УЗК, обточ АТП ту 14-1-1660 2гп</v>
      </c>
      <c r="G35" s="125">
        <f ca="1">IFERROR(__xludf.DUMMYFUNCTION("""COMPUTED_VALUE"""),0.110999999999999)</f>
        <v>0.110999999999999</v>
      </c>
      <c r="H35" s="125"/>
      <c r="I35" s="131">
        <f ca="1">IFERROR(__xludf.DUMMYFUNCTION("""COMPUTED_VALUE"""),1100000)</f>
        <v>1100000</v>
      </c>
    </row>
    <row r="36" spans="2:9" ht="15.75" x14ac:dyDescent="0.25">
      <c r="B36" s="123" t="str">
        <f ca="1">IFERROR(__xludf.DUMMYFUNCTION("""COMPUTED_VALUE"""),"круг")</f>
        <v>круг</v>
      </c>
      <c r="C36" s="133" t="str">
        <f ca="1">IFERROR(__xludf.DUMMYFUNCTION("""COMPUTED_VALUE"""),"07Х16Н6-Ш ( ЭП288-Ш)")</f>
        <v>07Х16Н6-Ш ( ЭП288-Ш)</v>
      </c>
      <c r="D36" s="124">
        <f ca="1">IFERROR(__xludf.DUMMYFUNCTION("""COMPUTED_VALUE"""),80)</f>
        <v>80</v>
      </c>
      <c r="E36" s="124"/>
      <c r="F36" s="112" t="str">
        <f ca="1">IFERROR(__xludf.DUMMYFUNCTION("""COMPUTED_VALUE"""),"УЗК, обточ АТП ту 14-1-1660 2гп")</f>
        <v>УЗК, обточ АТП ту 14-1-1660 2гп</v>
      </c>
      <c r="G36" s="125">
        <f ca="1">IFERROR(__xludf.DUMMYFUNCTION("""COMPUTED_VALUE"""),0.192)</f>
        <v>0.192</v>
      </c>
      <c r="H36" s="125"/>
      <c r="I36" s="131">
        <f ca="1">IFERROR(__xludf.DUMMYFUNCTION("""COMPUTED_VALUE"""),1100000)</f>
        <v>1100000</v>
      </c>
    </row>
    <row r="37" spans="2:9" ht="15.75" x14ac:dyDescent="0.25">
      <c r="B37" s="123" t="str">
        <f ca="1">IFERROR(__xludf.DUMMYFUNCTION("""COMPUTED_VALUE"""),"круг")</f>
        <v>круг</v>
      </c>
      <c r="C37" s="133" t="str">
        <f ca="1">IFERROR(__xludf.DUMMYFUNCTION("""COMPUTED_VALUE"""),"07Х16Н6-Ш ( ЭП288-Ш)")</f>
        <v>07Х16Н6-Ш ( ЭП288-Ш)</v>
      </c>
      <c r="D37" s="124">
        <f ca="1">IFERROR(__xludf.DUMMYFUNCTION("""COMPUTED_VALUE"""),80)</f>
        <v>80</v>
      </c>
      <c r="E37" s="124"/>
      <c r="F37" s="112" t="str">
        <f ca="1">IFERROR(__xludf.DUMMYFUNCTION("""COMPUTED_VALUE"""),"УЗК, обточ АТП ту 14-1-1660 2гп")</f>
        <v>УЗК, обточ АТП ту 14-1-1660 2гп</v>
      </c>
      <c r="G37" s="125">
        <f ca="1">IFERROR(__xludf.DUMMYFUNCTION("""COMPUTED_VALUE"""),1.19)</f>
        <v>1.19</v>
      </c>
      <c r="H37" s="125"/>
      <c r="I37" s="131">
        <f ca="1">IFERROR(__xludf.DUMMYFUNCTION("""COMPUTED_VALUE"""),1100000)</f>
        <v>1100000</v>
      </c>
    </row>
    <row r="38" spans="2:9" ht="15.75" x14ac:dyDescent="0.25">
      <c r="B38" s="123" t="str">
        <f ca="1">IFERROR(__xludf.DUMMYFUNCTION("""COMPUTED_VALUE"""),"круг")</f>
        <v>круг</v>
      </c>
      <c r="C38" s="133" t="str">
        <f ca="1">IFERROR(__xludf.DUMMYFUNCTION("""COMPUTED_VALUE"""),"07Х16Н6-Ш ( ЭП288-Ш)")</f>
        <v>07Х16Н6-Ш ( ЭП288-Ш)</v>
      </c>
      <c r="D38" s="124">
        <f ca="1">IFERROR(__xludf.DUMMYFUNCTION("""COMPUTED_VALUE"""),80)</f>
        <v>80</v>
      </c>
      <c r="E38" s="124"/>
      <c r="F38" s="112" t="str">
        <f ca="1">IFERROR(__xludf.DUMMYFUNCTION("""COMPUTED_VALUE"""),"УЗК, обточ АТП ту 14-1-1660 2гп")</f>
        <v>УЗК, обточ АТП ту 14-1-1660 2гп</v>
      </c>
      <c r="G38" s="125">
        <f ca="1">IFERROR(__xludf.DUMMYFUNCTION("""COMPUTED_VALUE"""),0.55)</f>
        <v>0.55000000000000004</v>
      </c>
      <c r="H38" s="125"/>
      <c r="I38" s="131">
        <f ca="1">IFERROR(__xludf.DUMMYFUNCTION("""COMPUTED_VALUE"""),1100000)</f>
        <v>1100000</v>
      </c>
    </row>
    <row r="39" spans="2:9" ht="15.75" x14ac:dyDescent="0.25">
      <c r="B39" s="123" t="str">
        <f ca="1">IFERROR(__xludf.DUMMYFUNCTION("""COMPUTED_VALUE"""),"круг")</f>
        <v>круг</v>
      </c>
      <c r="C39" s="133" t="str">
        <f ca="1">IFERROR(__xludf.DUMMYFUNCTION("""COMPUTED_VALUE"""),"07Х16Н6-Ш ( ЭП288-Ш)")</f>
        <v>07Х16Н6-Ш ( ЭП288-Ш)</v>
      </c>
      <c r="D39" s="124">
        <f ca="1">IFERROR(__xludf.DUMMYFUNCTION("""COMPUTED_VALUE"""),90)</f>
        <v>90</v>
      </c>
      <c r="E39" s="124"/>
      <c r="F39" s="112" t="str">
        <f ca="1">IFERROR(__xludf.DUMMYFUNCTION("""COMPUTED_VALUE"""),"УЗК, обточ АТП ту 14-1-1660 ")</f>
        <v xml:space="preserve">УЗК, обточ АТП ту 14-1-1660 </v>
      </c>
      <c r="G39" s="125">
        <f ca="1">IFERROR(__xludf.DUMMYFUNCTION("""COMPUTED_VALUE"""),0.227999999999999)</f>
        <v>0.22799999999999901</v>
      </c>
      <c r="H39" s="125"/>
      <c r="I39" s="131">
        <f ca="1">IFERROR(__xludf.DUMMYFUNCTION("""COMPUTED_VALUE"""),1100000)</f>
        <v>1100000</v>
      </c>
    </row>
    <row r="40" spans="2:9" ht="15.75" x14ac:dyDescent="0.25">
      <c r="B40" s="123" t="str">
        <f ca="1">IFERROR(__xludf.DUMMYFUNCTION("""COMPUTED_VALUE"""),"круг")</f>
        <v>круг</v>
      </c>
      <c r="C40" s="133" t="str">
        <f ca="1">IFERROR(__xludf.DUMMYFUNCTION("""COMPUTED_VALUE"""),"07Х16Н6-Ш ( ЭП288-Ш)")</f>
        <v>07Х16Н6-Ш ( ЭП288-Ш)</v>
      </c>
      <c r="D40" s="124">
        <f ca="1">IFERROR(__xludf.DUMMYFUNCTION("""COMPUTED_VALUE"""),90)</f>
        <v>90</v>
      </c>
      <c r="E40" s="124"/>
      <c r="F40" s="112" t="str">
        <f ca="1">IFERROR(__xludf.DUMMYFUNCTION("""COMPUTED_VALUE"""),"УЗК, обточ АТП ту 14-1-1660 ")</f>
        <v xml:space="preserve">УЗК, обточ АТП ту 14-1-1660 </v>
      </c>
      <c r="G40" s="125">
        <f ca="1">IFERROR(__xludf.DUMMYFUNCTION("""COMPUTED_VALUE"""),3.37)</f>
        <v>3.37</v>
      </c>
      <c r="H40" s="125"/>
      <c r="I40" s="131">
        <f ca="1">IFERROR(__xludf.DUMMYFUNCTION("""COMPUTED_VALUE"""),1100000)</f>
        <v>1100000</v>
      </c>
    </row>
    <row r="41" spans="2:9" ht="15.75" x14ac:dyDescent="0.25">
      <c r="B41" s="123" t="str">
        <f ca="1">IFERROR(__xludf.DUMMYFUNCTION("""COMPUTED_VALUE"""),"круг")</f>
        <v>круг</v>
      </c>
      <c r="C41" s="133" t="str">
        <f ca="1">IFERROR(__xludf.DUMMYFUNCTION("""COMPUTED_VALUE"""),"07Х16Н6-Ш ( ЭП288-Ш)")</f>
        <v>07Х16Н6-Ш ( ЭП288-Ш)</v>
      </c>
      <c r="D41" s="124">
        <f ca="1">IFERROR(__xludf.DUMMYFUNCTION("""COMPUTED_VALUE"""),100)</f>
        <v>100</v>
      </c>
      <c r="E41" s="124"/>
      <c r="F41" s="112" t="str">
        <f ca="1">IFERROR(__xludf.DUMMYFUNCTION("""COMPUTED_VALUE"""),"УЗК, обточ АТП ту 14-1-1660 2гп")</f>
        <v>УЗК, обточ АТП ту 14-1-1660 2гп</v>
      </c>
      <c r="G41" s="125">
        <f ca="1">IFERROR(__xludf.DUMMYFUNCTION("""COMPUTED_VALUE"""),1.236)</f>
        <v>1.236</v>
      </c>
      <c r="H41" s="125"/>
      <c r="I41" s="131">
        <f ca="1">IFERROR(__xludf.DUMMYFUNCTION("""COMPUTED_VALUE"""),1100000)</f>
        <v>1100000</v>
      </c>
    </row>
    <row r="42" spans="2:9" ht="15.75" x14ac:dyDescent="0.25">
      <c r="B42" s="123" t="str">
        <f ca="1">IFERROR(__xludf.DUMMYFUNCTION("""COMPUTED_VALUE"""),"круг")</f>
        <v>круг</v>
      </c>
      <c r="C42" s="133" t="str">
        <f ca="1">IFERROR(__xludf.DUMMYFUNCTION("""COMPUTED_VALUE"""),"07Х16Н6-Ш ( ЭП288-Ш)")</f>
        <v>07Х16Н6-Ш ( ЭП288-Ш)</v>
      </c>
      <c r="D42" s="124">
        <f ca="1">IFERROR(__xludf.DUMMYFUNCTION("""COMPUTED_VALUE"""),100)</f>
        <v>100</v>
      </c>
      <c r="E42" s="124"/>
      <c r="F42" s="112" t="str">
        <f ca="1">IFERROR(__xludf.DUMMYFUNCTION("""COMPUTED_VALUE"""),"УЗК, обточ АТП ту 14-1-1660 2гп")</f>
        <v>УЗК, обточ АТП ту 14-1-1660 2гп</v>
      </c>
      <c r="G42" s="125">
        <f ca="1">IFERROR(__xludf.DUMMYFUNCTION("""COMPUTED_VALUE"""),1.16)</f>
        <v>1.1599999999999999</v>
      </c>
      <c r="H42" s="125"/>
      <c r="I42" s="131">
        <f ca="1">IFERROR(__xludf.DUMMYFUNCTION("""COMPUTED_VALUE"""),1100000)</f>
        <v>1100000</v>
      </c>
    </row>
    <row r="43" spans="2:9" ht="15.75" x14ac:dyDescent="0.25">
      <c r="B43" s="123" t="str">
        <f ca="1">IFERROR(__xludf.DUMMYFUNCTION("""COMPUTED_VALUE"""),"круг")</f>
        <v>круг</v>
      </c>
      <c r="C43" s="133" t="str">
        <f ca="1">IFERROR(__xludf.DUMMYFUNCTION("""COMPUTED_VALUE"""),"07Х16Н6-Ш ( ЭП288-Ш)")</f>
        <v>07Х16Н6-Ш ( ЭП288-Ш)</v>
      </c>
      <c r="D43" s="124">
        <f ca="1">IFERROR(__xludf.DUMMYFUNCTION("""COMPUTED_VALUE"""),110)</f>
        <v>110</v>
      </c>
      <c r="E43" s="124"/>
      <c r="F43" s="112" t="str">
        <f ca="1">IFERROR(__xludf.DUMMYFUNCTION("""COMPUTED_VALUE"""),"УЗК, обточ АТП ту 14-1-1660 2гп")</f>
        <v>УЗК, обточ АТП ту 14-1-1660 2гп</v>
      </c>
      <c r="G43" s="125">
        <f ca="1">IFERROR(__xludf.DUMMYFUNCTION("""COMPUTED_VALUE"""),0.0760000000000009)</f>
        <v>7.60000000000009E-2</v>
      </c>
      <c r="H43" s="125"/>
      <c r="I43" s="131">
        <f ca="1">IFERROR(__xludf.DUMMYFUNCTION("""COMPUTED_VALUE"""),1100000)</f>
        <v>1100000</v>
      </c>
    </row>
    <row r="44" spans="2:9" ht="15.75" x14ac:dyDescent="0.25">
      <c r="B44" s="123" t="str">
        <f ca="1">IFERROR(__xludf.DUMMYFUNCTION("""COMPUTED_VALUE"""),"круг")</f>
        <v>круг</v>
      </c>
      <c r="C44" s="133" t="str">
        <f ca="1">IFERROR(__xludf.DUMMYFUNCTION("""COMPUTED_VALUE"""),"07Х16Н6-Ш ( ЭП288-Ш)")</f>
        <v>07Х16Н6-Ш ( ЭП288-Ш)</v>
      </c>
      <c r="D44" s="124">
        <f ca="1">IFERROR(__xludf.DUMMYFUNCTION("""COMPUTED_VALUE"""),110)</f>
        <v>110</v>
      </c>
      <c r="E44" s="124"/>
      <c r="F44" s="112" t="str">
        <f ca="1">IFERROR(__xludf.DUMMYFUNCTION("""COMPUTED_VALUE"""),"УЗК, обточ АТП ту 14-1-1660 2гп")</f>
        <v>УЗК, обточ АТП ту 14-1-1660 2гп</v>
      </c>
      <c r="G44" s="125">
        <f ca="1">IFERROR(__xludf.DUMMYFUNCTION("""COMPUTED_VALUE"""),0.648)</f>
        <v>0.64800000000000002</v>
      </c>
      <c r="H44" s="125"/>
      <c r="I44" s="131">
        <f ca="1">IFERROR(__xludf.DUMMYFUNCTION("""COMPUTED_VALUE"""),1100000)</f>
        <v>1100000</v>
      </c>
    </row>
    <row r="45" spans="2:9" ht="15.75" x14ac:dyDescent="0.25">
      <c r="B45" s="123" t="str">
        <f ca="1">IFERROR(__xludf.DUMMYFUNCTION("""COMPUTED_VALUE"""),"круг")</f>
        <v>круг</v>
      </c>
      <c r="C45" s="133" t="str">
        <f ca="1">IFERROR(__xludf.DUMMYFUNCTION("""COMPUTED_VALUE"""),"07Х16Н6-Ш ( ЭП288-Ш)")</f>
        <v>07Х16Н6-Ш ( ЭП288-Ш)</v>
      </c>
      <c r="D45" s="124">
        <f ca="1">IFERROR(__xludf.DUMMYFUNCTION("""COMPUTED_VALUE"""),120)</f>
        <v>120</v>
      </c>
      <c r="E45" s="124"/>
      <c r="F45" s="112" t="str">
        <f ca="1">IFERROR(__xludf.DUMMYFUNCTION("""COMPUTED_VALUE"""),"УЗК, обточ АТП ту 14-1-1660 2гп")</f>
        <v>УЗК, обточ АТП ту 14-1-1660 2гп</v>
      </c>
      <c r="G45" s="125">
        <f ca="1">IFERROR(__xludf.DUMMYFUNCTION("""COMPUTED_VALUE"""),0.326999999999999)</f>
        <v>0.32699999999999901</v>
      </c>
      <c r="H45" s="125"/>
      <c r="I45" s="131">
        <f ca="1">IFERROR(__xludf.DUMMYFUNCTION("""COMPUTED_VALUE"""),1100000)</f>
        <v>1100000</v>
      </c>
    </row>
    <row r="46" spans="2:9" ht="15.75" x14ac:dyDescent="0.25">
      <c r="B46" s="123" t="str">
        <f ca="1">IFERROR(__xludf.DUMMYFUNCTION("""COMPUTED_VALUE"""),"круг")</f>
        <v>круг</v>
      </c>
      <c r="C46" s="133" t="str">
        <f ca="1">IFERROR(__xludf.DUMMYFUNCTION("""COMPUTED_VALUE"""),"07Х16Н6-Ш ( ЭП288-Ш)")</f>
        <v>07Х16Н6-Ш ( ЭП288-Ш)</v>
      </c>
      <c r="D46" s="124">
        <f ca="1">IFERROR(__xludf.DUMMYFUNCTION("""COMPUTED_VALUE"""),120)</f>
        <v>120</v>
      </c>
      <c r="E46" s="124"/>
      <c r="F46" s="112" t="str">
        <f ca="1">IFERROR(__xludf.DUMMYFUNCTION("""COMPUTED_VALUE"""),"УЗК, обточ АТП ту 14-1-1660 2гп")</f>
        <v>УЗК, обточ АТП ту 14-1-1660 2гп</v>
      </c>
      <c r="G46" s="125">
        <f ca="1">IFERROR(__xludf.DUMMYFUNCTION("""COMPUTED_VALUE"""),2.965)</f>
        <v>2.9649999999999999</v>
      </c>
      <c r="H46" s="125"/>
      <c r="I46" s="131">
        <f ca="1">IFERROR(__xludf.DUMMYFUNCTION("""COMPUTED_VALUE"""),1100000)</f>
        <v>1100000</v>
      </c>
    </row>
    <row r="47" spans="2:9" ht="15.75" x14ac:dyDescent="0.25">
      <c r="B47" s="123" t="str">
        <f ca="1">IFERROR(__xludf.DUMMYFUNCTION("""COMPUTED_VALUE"""),"круг")</f>
        <v>круг</v>
      </c>
      <c r="C47" s="133" t="str">
        <f ca="1">IFERROR(__xludf.DUMMYFUNCTION("""COMPUTED_VALUE"""),"07Х16Н6-Ш ( ЭП288-Ш)")</f>
        <v>07Х16Н6-Ш ( ЭП288-Ш)</v>
      </c>
      <c r="D47" s="124">
        <f ca="1">IFERROR(__xludf.DUMMYFUNCTION("""COMPUTED_VALUE"""),130)</f>
        <v>130</v>
      </c>
      <c r="E47" s="124"/>
      <c r="F47" s="112" t="str">
        <f ca="1">IFERROR(__xludf.DUMMYFUNCTION("""COMPUTED_VALUE"""),"УЗК, обточ АТП ту 14-1-1660 2гп")</f>
        <v>УЗК, обточ АТП ту 14-1-1660 2гп</v>
      </c>
      <c r="G47" s="125">
        <f ca="1">IFERROR(__xludf.DUMMYFUNCTION("""COMPUTED_VALUE"""),0.349)</f>
        <v>0.34899999999999998</v>
      </c>
      <c r="H47" s="125"/>
      <c r="I47" s="131">
        <f ca="1">IFERROR(__xludf.DUMMYFUNCTION("""COMPUTED_VALUE"""),1100000)</f>
        <v>1100000</v>
      </c>
    </row>
    <row r="48" spans="2:9" ht="15.75" x14ac:dyDescent="0.25">
      <c r="B48" s="123" t="str">
        <f ca="1">IFERROR(__xludf.DUMMYFUNCTION("""COMPUTED_VALUE"""),"круг")</f>
        <v>круг</v>
      </c>
      <c r="C48" s="133" t="str">
        <f ca="1">IFERROR(__xludf.DUMMYFUNCTION("""COMPUTED_VALUE"""),"07Х16Н6-Ш ( ЭП288-Ш)")</f>
        <v>07Х16Н6-Ш ( ЭП288-Ш)</v>
      </c>
      <c r="D48" s="124">
        <f ca="1">IFERROR(__xludf.DUMMYFUNCTION("""COMPUTED_VALUE"""),130)</f>
        <v>130</v>
      </c>
      <c r="E48" s="124"/>
      <c r="F48" s="112" t="str">
        <f ca="1">IFERROR(__xludf.DUMMYFUNCTION("""COMPUTED_VALUE"""),"УЗК, обточ АТП ту 14-1-1660 2гп")</f>
        <v>УЗК, обточ АТП ту 14-1-1660 2гп</v>
      </c>
      <c r="G48" s="125">
        <f ca="1">IFERROR(__xludf.DUMMYFUNCTION("""COMPUTED_VALUE"""),2.085)</f>
        <v>2.085</v>
      </c>
      <c r="H48" s="125"/>
      <c r="I48" s="131">
        <f ca="1">IFERROR(__xludf.DUMMYFUNCTION("""COMPUTED_VALUE"""),1100000)</f>
        <v>1100000</v>
      </c>
    </row>
    <row r="49" spans="2:9" ht="15.75" x14ac:dyDescent="0.25">
      <c r="B49" s="123" t="str">
        <f ca="1">IFERROR(__xludf.DUMMYFUNCTION("""COMPUTED_VALUE"""),"круг")</f>
        <v>круг</v>
      </c>
      <c r="C49" s="133" t="str">
        <f ca="1">IFERROR(__xludf.DUMMYFUNCTION("""COMPUTED_VALUE"""),"07Х16Н6-Ш ( ЭП288-Ш)")</f>
        <v>07Х16Н6-Ш ( ЭП288-Ш)</v>
      </c>
      <c r="D49" s="124">
        <f ca="1">IFERROR(__xludf.DUMMYFUNCTION("""COMPUTED_VALUE"""),130)</f>
        <v>130</v>
      </c>
      <c r="E49" s="124"/>
      <c r="F49" s="112" t="str">
        <f ca="1">IFERROR(__xludf.DUMMYFUNCTION("""COMPUTED_VALUE"""),"УЗК, обточ АТП ту 14-1-1660 2гп")</f>
        <v>УЗК, обточ АТП ту 14-1-1660 2гп</v>
      </c>
      <c r="G49" s="125">
        <f ca="1">IFERROR(__xludf.DUMMYFUNCTION("""COMPUTED_VALUE"""),2.175)</f>
        <v>2.1749999999999998</v>
      </c>
      <c r="H49" s="125"/>
      <c r="I49" s="131">
        <f ca="1">IFERROR(__xludf.DUMMYFUNCTION("""COMPUTED_VALUE"""),1100000)</f>
        <v>1100000</v>
      </c>
    </row>
    <row r="50" spans="2:9" ht="15.75" x14ac:dyDescent="0.25">
      <c r="B50" s="123" t="str">
        <f ca="1">IFERROR(__xludf.DUMMYFUNCTION("""COMPUTED_VALUE"""),"круг")</f>
        <v>круг</v>
      </c>
      <c r="C50" s="133" t="str">
        <f ca="1">IFERROR(__xludf.DUMMYFUNCTION("""COMPUTED_VALUE"""),"07Х16Н6-Ш ( ЭП288-Ш)")</f>
        <v>07Х16Н6-Ш ( ЭП288-Ш)</v>
      </c>
      <c r="D50" s="124">
        <f ca="1">IFERROR(__xludf.DUMMYFUNCTION("""COMPUTED_VALUE"""),135)</f>
        <v>135</v>
      </c>
      <c r="E50" s="124"/>
      <c r="F50" s="112" t="str">
        <f ca="1">IFERROR(__xludf.DUMMYFUNCTION("""COMPUTED_VALUE"""),"УЗК, обточ АТП ту 14-1-1660 2гп")</f>
        <v>УЗК, обточ АТП ту 14-1-1660 2гп</v>
      </c>
      <c r="G50" s="125">
        <f ca="1">IFERROR(__xludf.DUMMYFUNCTION("""COMPUTED_VALUE"""),0.565)</f>
        <v>0.56499999999999995</v>
      </c>
      <c r="H50" s="125"/>
      <c r="I50" s="131">
        <f ca="1">IFERROR(__xludf.DUMMYFUNCTION("""COMPUTED_VALUE"""),1000000)</f>
        <v>1000000</v>
      </c>
    </row>
    <row r="51" spans="2:9" ht="15.75" x14ac:dyDescent="0.25">
      <c r="B51" s="123" t="str">
        <f ca="1">IFERROR(__xludf.DUMMYFUNCTION("""COMPUTED_VALUE"""),"круг")</f>
        <v>круг</v>
      </c>
      <c r="C51" s="133" t="str">
        <f ca="1">IFERROR(__xludf.DUMMYFUNCTION("""COMPUTED_VALUE"""),"07Х16Н6-Ш ( ЭП288-Ш)")</f>
        <v>07Х16Н6-Ш ( ЭП288-Ш)</v>
      </c>
      <c r="D51" s="124">
        <f ca="1">IFERROR(__xludf.DUMMYFUNCTION("""COMPUTED_VALUE"""),140)</f>
        <v>140</v>
      </c>
      <c r="E51" s="124"/>
      <c r="F51" s="112" t="str">
        <f ca="1">IFERROR(__xludf.DUMMYFUNCTION("""COMPUTED_VALUE"""),"УЗК, обточ АТП ту 14-1-1660 2гп")</f>
        <v>УЗК, обточ АТП ту 14-1-1660 2гп</v>
      </c>
      <c r="G51" s="125">
        <f ca="1">IFERROR(__xludf.DUMMYFUNCTION("""COMPUTED_VALUE"""),1.436)</f>
        <v>1.4359999999999999</v>
      </c>
      <c r="H51" s="125"/>
      <c r="I51" s="131">
        <f ca="1">IFERROR(__xludf.DUMMYFUNCTION("""COMPUTED_VALUE"""),1100000)</f>
        <v>1100000</v>
      </c>
    </row>
    <row r="52" spans="2:9" ht="15.75" x14ac:dyDescent="0.25">
      <c r="B52" s="123" t="str">
        <f ca="1">IFERROR(__xludf.DUMMYFUNCTION("""COMPUTED_VALUE"""),"круг")</f>
        <v>круг</v>
      </c>
      <c r="C52" s="133" t="str">
        <f ca="1">IFERROR(__xludf.DUMMYFUNCTION("""COMPUTED_VALUE"""),"07Х16Н6-Ш ( ЭП288-Ш)")</f>
        <v>07Х16Н6-Ш ( ЭП288-Ш)</v>
      </c>
      <c r="D52" s="124">
        <f ca="1">IFERROR(__xludf.DUMMYFUNCTION("""COMPUTED_VALUE"""),140)</f>
        <v>140</v>
      </c>
      <c r="E52" s="124"/>
      <c r="F52" s="112" t="str">
        <f ca="1">IFERROR(__xludf.DUMMYFUNCTION("""COMPUTED_VALUE"""),"УЗК, обточ АТП ту 14-1-1660 ")</f>
        <v xml:space="preserve">УЗК, обточ АТП ту 14-1-1660 </v>
      </c>
      <c r="G52" s="125">
        <f ca="1">IFERROR(__xludf.DUMMYFUNCTION("""COMPUTED_VALUE"""),3.37)</f>
        <v>3.37</v>
      </c>
      <c r="H52" s="125"/>
      <c r="I52" s="131">
        <f ca="1">IFERROR(__xludf.DUMMYFUNCTION("""COMPUTED_VALUE"""),1100000)</f>
        <v>1100000</v>
      </c>
    </row>
    <row r="53" spans="2:9" ht="15.75" x14ac:dyDescent="0.25">
      <c r="B53" s="123" t="str">
        <f ca="1">IFERROR(__xludf.DUMMYFUNCTION("""COMPUTED_VALUE"""),"круг")</f>
        <v>круг</v>
      </c>
      <c r="C53" s="133" t="str">
        <f ca="1">IFERROR(__xludf.DUMMYFUNCTION("""COMPUTED_VALUE"""),"07Х16Н6-Ш ( ЭП288-Ш)")</f>
        <v>07Х16Н6-Ш ( ЭП288-Ш)</v>
      </c>
      <c r="D53" s="124">
        <f ca="1">IFERROR(__xludf.DUMMYFUNCTION("""COMPUTED_VALUE"""),150)</f>
        <v>150</v>
      </c>
      <c r="E53" s="124"/>
      <c r="F53" s="112" t="str">
        <f ca="1">IFERROR(__xludf.DUMMYFUNCTION("""COMPUTED_VALUE"""),"УЗК, обточ АТП ту 14-1-1660 2гп")</f>
        <v>УЗК, обточ АТП ту 14-1-1660 2гп</v>
      </c>
      <c r="G53" s="125">
        <f ca="1">IFERROR(__xludf.DUMMYFUNCTION("""COMPUTED_VALUE"""),3.21599999999999)</f>
        <v>3.21599999999999</v>
      </c>
      <c r="H53" s="125"/>
      <c r="I53" s="131">
        <f ca="1">IFERROR(__xludf.DUMMYFUNCTION("""COMPUTED_VALUE"""),1100000)</f>
        <v>1100000</v>
      </c>
    </row>
    <row r="54" spans="2:9" ht="15.75" x14ac:dyDescent="0.25">
      <c r="B54" s="123" t="str">
        <f ca="1">IFERROR(__xludf.DUMMYFUNCTION("""COMPUTED_VALUE"""),"круг")</f>
        <v>круг</v>
      </c>
      <c r="C54" s="133" t="str">
        <f ca="1">IFERROR(__xludf.DUMMYFUNCTION("""COMPUTED_VALUE"""),"07Х16Н6-Ш ( ЭП288-Ш)")</f>
        <v>07Х16Н6-Ш ( ЭП288-Ш)</v>
      </c>
      <c r="D54" s="124">
        <f ca="1">IFERROR(__xludf.DUMMYFUNCTION("""COMPUTED_VALUE"""),160)</f>
        <v>160</v>
      </c>
      <c r="E54" s="124"/>
      <c r="F54" s="112" t="str">
        <f ca="1">IFERROR(__xludf.DUMMYFUNCTION("""COMPUTED_VALUE"""),"УЗК, обточ АТП ту 14-1-1660 2гп")</f>
        <v>УЗК, обточ АТП ту 14-1-1660 2гп</v>
      </c>
      <c r="G54" s="125">
        <f ca="1">IFERROR(__xludf.DUMMYFUNCTION("""COMPUTED_VALUE"""),0.159)</f>
        <v>0.159</v>
      </c>
      <c r="H54" s="125"/>
      <c r="I54" s="131">
        <f ca="1">IFERROR(__xludf.DUMMYFUNCTION("""COMPUTED_VALUE"""),1100000)</f>
        <v>1100000</v>
      </c>
    </row>
    <row r="55" spans="2:9" ht="15.75" x14ac:dyDescent="0.25">
      <c r="B55" s="123" t="str">
        <f ca="1">IFERROR(__xludf.DUMMYFUNCTION("""COMPUTED_VALUE"""),"круг")</f>
        <v>круг</v>
      </c>
      <c r="C55" s="133" t="str">
        <f ca="1">IFERROR(__xludf.DUMMYFUNCTION("""COMPUTED_VALUE"""),"07Х16Н6-Ш ( ЭП288-Ш)")</f>
        <v>07Х16Н6-Ш ( ЭП288-Ш)</v>
      </c>
      <c r="D55" s="124">
        <f ca="1">IFERROR(__xludf.DUMMYFUNCTION("""COMPUTED_VALUE"""),160)</f>
        <v>160</v>
      </c>
      <c r="E55" s="124"/>
      <c r="F55" s="112" t="str">
        <f ca="1">IFERROR(__xludf.DUMMYFUNCTION("""COMPUTED_VALUE"""),"УЗК, обточ АТП ту 14-1-1660 2гп")</f>
        <v>УЗК, обточ АТП ту 14-1-1660 2гп</v>
      </c>
      <c r="G55" s="125">
        <f ca="1">IFERROR(__xludf.DUMMYFUNCTION("""COMPUTED_VALUE"""),1.652)</f>
        <v>1.6519999999999999</v>
      </c>
      <c r="H55" s="125"/>
      <c r="I55" s="131">
        <f ca="1">IFERROR(__xludf.DUMMYFUNCTION("""COMPUTED_VALUE"""),1100000)</f>
        <v>1100000</v>
      </c>
    </row>
    <row r="56" spans="2:9" ht="15.75" x14ac:dyDescent="0.25">
      <c r="B56" s="123" t="str">
        <f ca="1">IFERROR(__xludf.DUMMYFUNCTION("""COMPUTED_VALUE"""),"круг")</f>
        <v>круг</v>
      </c>
      <c r="C56" s="133" t="str">
        <f ca="1">IFERROR(__xludf.DUMMYFUNCTION("""COMPUTED_VALUE"""),"07Х16Н6-Ш ( ЭП288-Ш)")</f>
        <v>07Х16Н6-Ш ( ЭП288-Ш)</v>
      </c>
      <c r="D56" s="124">
        <f ca="1">IFERROR(__xludf.DUMMYFUNCTION("""COMPUTED_VALUE"""),180)</f>
        <v>180</v>
      </c>
      <c r="E56" s="124"/>
      <c r="F56" s="112" t="str">
        <f ca="1">IFERROR(__xludf.DUMMYFUNCTION("""COMPUTED_VALUE"""),"УЗК, обточ АТП ту 14-1-1660 ")</f>
        <v xml:space="preserve">УЗК, обточ АТП ту 14-1-1660 </v>
      </c>
      <c r="G56" s="125">
        <f ca="1">IFERROR(__xludf.DUMMYFUNCTION("""COMPUTED_VALUE"""),2.17599999999999)</f>
        <v>2.1759999999999899</v>
      </c>
      <c r="H56" s="125"/>
      <c r="I56" s="131">
        <f ca="1">IFERROR(__xludf.DUMMYFUNCTION("""COMPUTED_VALUE"""),1100000)</f>
        <v>1100000</v>
      </c>
    </row>
    <row r="57" spans="2:9" ht="15.75" x14ac:dyDescent="0.25">
      <c r="B57" s="123" t="str">
        <f ca="1">IFERROR(__xludf.DUMMYFUNCTION("""COMPUTED_VALUE"""),"круг")</f>
        <v>круг</v>
      </c>
      <c r="C57" s="133" t="str">
        <f ca="1">IFERROR(__xludf.DUMMYFUNCTION("""COMPUTED_VALUE"""),"07Х16Н6-Ш ( ЭП288-Ш)")</f>
        <v>07Х16Н6-Ш ( ЭП288-Ш)</v>
      </c>
      <c r="D57" s="124">
        <f ca="1">IFERROR(__xludf.DUMMYFUNCTION("""COMPUTED_VALUE"""),200)</f>
        <v>200</v>
      </c>
      <c r="E57" s="124"/>
      <c r="F57" s="112" t="str">
        <f ca="1">IFERROR(__xludf.DUMMYFUNCTION("""COMPUTED_VALUE"""),"УЗК, обточ АТП ту 14-1-1660 ")</f>
        <v xml:space="preserve">УЗК, обточ АТП ту 14-1-1660 </v>
      </c>
      <c r="G57" s="125">
        <f ca="1">IFERROR(__xludf.DUMMYFUNCTION("""COMPUTED_VALUE"""),0.909999999999999)</f>
        <v>0.90999999999999903</v>
      </c>
      <c r="H57" s="125"/>
      <c r="I57" s="131">
        <f ca="1">IFERROR(__xludf.DUMMYFUNCTION("""COMPUTED_VALUE"""),1100000)</f>
        <v>1100000</v>
      </c>
    </row>
    <row r="58" spans="2:9" ht="15.75" x14ac:dyDescent="0.25">
      <c r="B58" s="123" t="str">
        <f ca="1">IFERROR(__xludf.DUMMYFUNCTION("""COMPUTED_VALUE"""),"круг")</f>
        <v>круг</v>
      </c>
      <c r="C58" s="133" t="str">
        <f ca="1">IFERROR(__xludf.DUMMYFUNCTION("""COMPUTED_VALUE"""),"07Х16Н6-Ш ( ЭП288-Ш)")</f>
        <v>07Х16Н6-Ш ( ЭП288-Ш)</v>
      </c>
      <c r="D58" s="124">
        <f ca="1">IFERROR(__xludf.DUMMYFUNCTION("""COMPUTED_VALUE"""),200)</f>
        <v>200</v>
      </c>
      <c r="E58" s="124"/>
      <c r="F58" s="112" t="str">
        <f ca="1">IFERROR(__xludf.DUMMYFUNCTION("""COMPUTED_VALUE"""),"УЗК, обточ АТП ту 14-1-1660 ")</f>
        <v xml:space="preserve">УЗК, обточ АТП ту 14-1-1660 </v>
      </c>
      <c r="G58" s="125">
        <f ca="1">IFERROR(__xludf.DUMMYFUNCTION("""COMPUTED_VALUE"""),0.875)</f>
        <v>0.875</v>
      </c>
      <c r="H58" s="125"/>
      <c r="I58" s="131">
        <f ca="1">IFERROR(__xludf.DUMMYFUNCTION("""COMPUTED_VALUE"""),1100000)</f>
        <v>1100000</v>
      </c>
    </row>
    <row r="59" spans="2:9" ht="15.75" x14ac:dyDescent="0.25">
      <c r="B59" s="123" t="str">
        <f ca="1">IFERROR(__xludf.DUMMYFUNCTION("""COMPUTED_VALUE"""),"круг")</f>
        <v>круг</v>
      </c>
      <c r="C59" s="133" t="str">
        <f ca="1">IFERROR(__xludf.DUMMYFUNCTION("""COMPUTED_VALUE"""),"07Х16Н6-Ш ( ЭП288-Ш)")</f>
        <v>07Х16Н6-Ш ( ЭП288-Ш)</v>
      </c>
      <c r="D59" s="124">
        <f ca="1">IFERROR(__xludf.DUMMYFUNCTION("""COMPUTED_VALUE"""),220)</f>
        <v>220</v>
      </c>
      <c r="E59" s="124"/>
      <c r="F59" s="112" t="str">
        <f ca="1">IFERROR(__xludf.DUMMYFUNCTION("""COMPUTED_VALUE"""),"УЗК, обточ АТП ту 14-1-1660")</f>
        <v>УЗК, обточ АТП ту 14-1-1660</v>
      </c>
      <c r="G59" s="125">
        <f ca="1">IFERROR(__xludf.DUMMYFUNCTION("""COMPUTED_VALUE"""),0.0190000000000001)</f>
        <v>1.90000000000001E-2</v>
      </c>
      <c r="H59" s="125"/>
      <c r="I59" s="131">
        <f ca="1">IFERROR(__xludf.DUMMYFUNCTION("""COMPUTED_VALUE"""),1250000)</f>
        <v>1250000</v>
      </c>
    </row>
    <row r="60" spans="2:9" ht="15.75" x14ac:dyDescent="0.25">
      <c r="B60" s="123" t="str">
        <f ca="1">IFERROR(__xludf.DUMMYFUNCTION("""COMPUTED_VALUE"""),"круг")</f>
        <v>круг</v>
      </c>
      <c r="C60" s="133" t="str">
        <f ca="1">IFERROR(__xludf.DUMMYFUNCTION("""COMPUTED_VALUE"""),"07Х16Н6-Ш ( ЭП288-Ш)")</f>
        <v>07Х16Н6-Ш ( ЭП288-Ш)</v>
      </c>
      <c r="D60" s="124">
        <f ca="1">IFERROR(__xludf.DUMMYFUNCTION("""COMPUTED_VALUE"""),220)</f>
        <v>220</v>
      </c>
      <c r="E60" s="124"/>
      <c r="F60" s="112" t="str">
        <f ca="1">IFERROR(__xludf.DUMMYFUNCTION("""COMPUTED_VALUE"""),"ту 14-1-1660, УЗК, АТП,")</f>
        <v>ту 14-1-1660, УЗК, АТП,</v>
      </c>
      <c r="G60" s="125">
        <f ca="1">IFERROR(__xludf.DUMMYFUNCTION("""COMPUTED_VALUE"""),1.911)</f>
        <v>1.911</v>
      </c>
      <c r="H60" s="125"/>
      <c r="I60" s="131">
        <f ca="1">IFERROR(__xludf.DUMMYFUNCTION("""COMPUTED_VALUE"""),1250000)</f>
        <v>1250000</v>
      </c>
    </row>
    <row r="61" spans="2:9" ht="15.75" x14ac:dyDescent="0.25">
      <c r="B61" s="123" t="str">
        <f ca="1">IFERROR(__xludf.DUMMYFUNCTION("""COMPUTED_VALUE"""),"круг")</f>
        <v>круг</v>
      </c>
      <c r="C61" s="133" t="str">
        <f ca="1">IFERROR(__xludf.DUMMYFUNCTION("""COMPUTED_VALUE"""),"07Х16Н6-Ш ( ЭП288-Ш)")</f>
        <v>07Х16Н6-Ш ( ЭП288-Ш)</v>
      </c>
      <c r="D61" s="124">
        <f ca="1">IFERROR(__xludf.DUMMYFUNCTION("""COMPUTED_VALUE"""),220)</f>
        <v>220</v>
      </c>
      <c r="E61" s="124"/>
      <c r="F61" s="112" t="str">
        <f ca="1">IFERROR(__xludf.DUMMYFUNCTION("""COMPUTED_VALUE"""),"ту 14-1-1660, УЗК, АТП,")</f>
        <v>ту 14-1-1660, УЗК, АТП,</v>
      </c>
      <c r="G61" s="125">
        <f ca="1">IFERROR(__xludf.DUMMYFUNCTION("""COMPUTED_VALUE"""),1.055)</f>
        <v>1.0549999999999999</v>
      </c>
      <c r="H61" s="125"/>
      <c r="I61" s="131">
        <f ca="1">IFERROR(__xludf.DUMMYFUNCTION("""COMPUTED_VALUE"""),1250000)</f>
        <v>1250000</v>
      </c>
    </row>
    <row r="62" spans="2:9" ht="15.75" x14ac:dyDescent="0.25">
      <c r="B62" s="123" t="str">
        <f ca="1">IFERROR(__xludf.DUMMYFUNCTION("""COMPUTED_VALUE"""),"круг")</f>
        <v>круг</v>
      </c>
      <c r="C62" s="133" t="str">
        <f ca="1">IFERROR(__xludf.DUMMYFUNCTION("""COMPUTED_VALUE"""),"07Х16Н6-Ш ( ЭП288-Ш)")</f>
        <v>07Х16Н6-Ш ( ЭП288-Ш)</v>
      </c>
      <c r="D62" s="124">
        <f ca="1">IFERROR(__xludf.DUMMYFUNCTION("""COMPUTED_VALUE"""),250)</f>
        <v>250</v>
      </c>
      <c r="E62" s="124"/>
      <c r="F62" s="112" t="str">
        <f ca="1">IFERROR(__xludf.DUMMYFUNCTION("""COMPUTED_VALUE"""),"УЗК, обточ АТП ту 14-1-1660")</f>
        <v>УЗК, обточ АТП ту 14-1-1660</v>
      </c>
      <c r="G62" s="125">
        <f ca="1">IFERROR(__xludf.DUMMYFUNCTION("""COMPUTED_VALUE"""),1.088)</f>
        <v>1.0880000000000001</v>
      </c>
      <c r="H62" s="125"/>
      <c r="I62" s="131">
        <f ca="1">IFERROR(__xludf.DUMMYFUNCTION("""COMPUTED_VALUE"""),1100000)</f>
        <v>1100000</v>
      </c>
    </row>
    <row r="63" spans="2:9" ht="15.75" x14ac:dyDescent="0.25">
      <c r="B63" s="123" t="str">
        <f ca="1">IFERROR(__xludf.DUMMYFUNCTION("""COMPUTED_VALUE"""),"круг")</f>
        <v>круг</v>
      </c>
      <c r="C63" s="133" t="str">
        <f ca="1">IFERROR(__xludf.DUMMYFUNCTION("""COMPUTED_VALUE"""),"07Х16Н6-Ш ( ЭП288-Ш)")</f>
        <v>07Х16Н6-Ш ( ЭП288-Ш)</v>
      </c>
      <c r="D63" s="124">
        <f ca="1">IFERROR(__xludf.DUMMYFUNCTION("""COMPUTED_VALUE"""),280)</f>
        <v>280</v>
      </c>
      <c r="E63" s="124"/>
      <c r="F63" s="112" t="str">
        <f ca="1">IFERROR(__xludf.DUMMYFUNCTION("""COMPUTED_VALUE"""),"ТУ14-1-1660-76,  IVК, УЗК, МКК РТ")</f>
        <v>ТУ14-1-1660-76,  IVК, УЗК, МКК РТ</v>
      </c>
      <c r="G63" s="125">
        <f ca="1">IFERROR(__xludf.DUMMYFUNCTION("""COMPUTED_VALUE"""),1.184)</f>
        <v>1.1839999999999999</v>
      </c>
      <c r="H63" s="125"/>
      <c r="I63" s="131">
        <f ca="1">IFERROR(__xludf.DUMMYFUNCTION("""COMPUTED_VALUE"""),1100000)</f>
        <v>1100000</v>
      </c>
    </row>
    <row r="64" spans="2:9" ht="15.75" x14ac:dyDescent="0.25">
      <c r="B64" s="123" t="str">
        <f ca="1">IFERROR(__xludf.DUMMYFUNCTION("""COMPUTED_VALUE"""),"круг")</f>
        <v>круг</v>
      </c>
      <c r="C64" s="133" t="str">
        <f ca="1">IFERROR(__xludf.DUMMYFUNCTION("""COMPUTED_VALUE"""),"07Х16Н6-Ш ( ЭП288-Ш)")</f>
        <v>07Х16Н6-Ш ( ЭП288-Ш)</v>
      </c>
      <c r="D64" s="124">
        <f ca="1">IFERROR(__xludf.DUMMYFUNCTION("""COMPUTED_VALUE"""),280)</f>
        <v>280</v>
      </c>
      <c r="E64" s="124"/>
      <c r="F64" s="112" t="str">
        <f ca="1">IFERROR(__xludf.DUMMYFUNCTION("""COMPUTED_VALUE"""),"ТУ14-1-1660-76,  IVК, УЗК, МКК РТ")</f>
        <v>ТУ14-1-1660-76,  IVК, УЗК, МКК РТ</v>
      </c>
      <c r="G64" s="125">
        <f ca="1">IFERROR(__xludf.DUMMYFUNCTION("""COMPUTED_VALUE"""),1.232)</f>
        <v>1.232</v>
      </c>
      <c r="H64" s="125"/>
      <c r="I64" s="131">
        <f ca="1">IFERROR(__xludf.DUMMYFUNCTION("""COMPUTED_VALUE"""),1100000)</f>
        <v>1100000</v>
      </c>
    </row>
    <row r="65" spans="2:9" ht="15.75" x14ac:dyDescent="0.25">
      <c r="B65" s="123" t="str">
        <f ca="1">IFERROR(__xludf.DUMMYFUNCTION("""COMPUTED_VALUE"""),"круг")</f>
        <v>круг</v>
      </c>
      <c r="C65" s="133" t="str">
        <f ca="1">IFERROR(__xludf.DUMMYFUNCTION("""COMPUTED_VALUE"""),"07Х16Н6-Ш ( ЭП288-Ш)")</f>
        <v>07Х16Н6-Ш ( ЭП288-Ш)</v>
      </c>
      <c r="D65" s="124">
        <f ca="1">IFERROR(__xludf.DUMMYFUNCTION("""COMPUTED_VALUE"""),300)</f>
        <v>300</v>
      </c>
      <c r="E65" s="124"/>
      <c r="F65" s="112" t="str">
        <f ca="1">IFERROR(__xludf.DUMMYFUNCTION("""COMPUTED_VALUE"""),"ТУ14-1-16160-76,  IVК, УЗК, МКК РТ")</f>
        <v>ТУ14-1-16160-76,  IVК, УЗК, МКК РТ</v>
      </c>
      <c r="G65" s="125">
        <f ca="1">IFERROR(__xludf.DUMMYFUNCTION("""COMPUTED_VALUE"""),1.138)</f>
        <v>1.1379999999999999</v>
      </c>
      <c r="H65" s="125"/>
      <c r="I65" s="131">
        <f ca="1">IFERROR(__xludf.DUMMYFUNCTION("""COMPUTED_VALUE"""),1100000)</f>
        <v>1100000</v>
      </c>
    </row>
    <row r="66" spans="2:9" ht="15.75" x14ac:dyDescent="0.25">
      <c r="B66" s="123" t="str">
        <f ca="1">IFERROR(__xludf.DUMMYFUNCTION("""COMPUTED_VALUE"""),"круг")</f>
        <v>круг</v>
      </c>
      <c r="C66" s="133" t="str">
        <f ca="1">IFERROR(__xludf.DUMMYFUNCTION("""COMPUTED_VALUE"""),"07Х16Н6-Ш ( ЭП288-Ш)")</f>
        <v>07Х16Н6-Ш ( ЭП288-Ш)</v>
      </c>
      <c r="D66" s="124">
        <f ca="1">IFERROR(__xludf.DUMMYFUNCTION("""COMPUTED_VALUE"""),300)</f>
        <v>300</v>
      </c>
      <c r="E66" s="124"/>
      <c r="F66" s="112" t="str">
        <f ca="1">IFERROR(__xludf.DUMMYFUNCTION("""COMPUTED_VALUE"""),"ТУ14-1-16160-76,  IVК, УЗК, МКК РТ")</f>
        <v>ТУ14-1-16160-76,  IVК, УЗК, МКК РТ</v>
      </c>
      <c r="G66" s="125">
        <f ca="1">IFERROR(__xludf.DUMMYFUNCTION("""COMPUTED_VALUE"""),1.317)</f>
        <v>1.3169999999999999</v>
      </c>
      <c r="H66" s="125"/>
      <c r="I66" s="131">
        <f ca="1">IFERROR(__xludf.DUMMYFUNCTION("""COMPUTED_VALUE"""),1100000)</f>
        <v>1100000</v>
      </c>
    </row>
    <row r="67" spans="2:9" ht="15.75" x14ac:dyDescent="0.25">
      <c r="B67" s="123" t="str">
        <f ca="1">IFERROR(__xludf.DUMMYFUNCTION("""COMPUTED_VALUE"""),"круг")</f>
        <v>круг</v>
      </c>
      <c r="C67" s="133" t="str">
        <f ca="1">IFERROR(__xludf.DUMMYFUNCTION("""COMPUTED_VALUE"""),"07Х16Н6-Ш ( ЭП288-Ш)")</f>
        <v>07Х16Н6-Ш ( ЭП288-Ш)</v>
      </c>
      <c r="D67" s="124">
        <f ca="1">IFERROR(__xludf.DUMMYFUNCTION("""COMPUTED_VALUE"""),330)</f>
        <v>330</v>
      </c>
      <c r="E67" s="124"/>
      <c r="F67" s="112" t="str">
        <f ca="1">IFERROR(__xludf.DUMMYFUNCTION("""COMPUTED_VALUE"""),"ТУ14-1-1660-76,  IVК, УЗК, МКК РТ")</f>
        <v>ТУ14-1-1660-76,  IVК, УЗК, МКК РТ</v>
      </c>
      <c r="G67" s="125">
        <f ca="1">IFERROR(__xludf.DUMMYFUNCTION("""COMPUTED_VALUE"""),1.03)</f>
        <v>1.03</v>
      </c>
      <c r="H67" s="125"/>
      <c r="I67" s="131">
        <f ca="1">IFERROR(__xludf.DUMMYFUNCTION("""COMPUTED_VALUE"""),1100000)</f>
        <v>1100000</v>
      </c>
    </row>
    <row r="68" spans="2:9" ht="15.75" x14ac:dyDescent="0.25">
      <c r="B68" s="123" t="str">
        <f ca="1">IFERROR(__xludf.DUMMYFUNCTION("""COMPUTED_VALUE"""),"круг")</f>
        <v>круг</v>
      </c>
      <c r="C68" s="133" t="str">
        <f ca="1">IFERROR(__xludf.DUMMYFUNCTION("""COMPUTED_VALUE"""),"07Х16Н6-Ш ( ЭП288-Ш)")</f>
        <v>07Х16Н6-Ш ( ЭП288-Ш)</v>
      </c>
      <c r="D68" s="124">
        <f ca="1">IFERROR(__xludf.DUMMYFUNCTION("""COMPUTED_VALUE"""),330)</f>
        <v>330</v>
      </c>
      <c r="E68" s="124"/>
      <c r="F68" s="112" t="str">
        <f ca="1">IFERROR(__xludf.DUMMYFUNCTION("""COMPUTED_VALUE"""),"ТУ14-1-1660-76,  IVК, УЗК, МКК РТ")</f>
        <v>ТУ14-1-1660-76,  IVК, УЗК, МКК РТ</v>
      </c>
      <c r="G68" s="125">
        <f ca="1">IFERROR(__xludf.DUMMYFUNCTION("""COMPUTED_VALUE"""),1.113)</f>
        <v>1.113</v>
      </c>
      <c r="H68" s="125"/>
      <c r="I68" s="131">
        <f ca="1">IFERROR(__xludf.DUMMYFUNCTION("""COMPUTED_VALUE"""),1100000)</f>
        <v>1100000</v>
      </c>
    </row>
    <row r="69" spans="2:9" ht="15.75" x14ac:dyDescent="0.25">
      <c r="B69" s="123" t="str">
        <f ca="1">IFERROR(__xludf.DUMMYFUNCTION("""COMPUTED_VALUE"""),"круг")</f>
        <v>круг</v>
      </c>
      <c r="C69" s="133" t="str">
        <f ca="1">IFERROR(__xludf.DUMMYFUNCTION("""COMPUTED_VALUE"""),"07Х16Н6-Ш ( ЭП288-Ш)")</f>
        <v>07Х16Н6-Ш ( ЭП288-Ш)</v>
      </c>
      <c r="D69" s="124">
        <f ca="1">IFERROR(__xludf.DUMMYFUNCTION("""COMPUTED_VALUE"""),350)</f>
        <v>350</v>
      </c>
      <c r="E69" s="124"/>
      <c r="F69" s="112" t="str">
        <f ca="1">IFERROR(__xludf.DUMMYFUNCTION("""COMPUTED_VALUE"""),"ту 14-1-1660, УЗК, АТП,")</f>
        <v>ту 14-1-1660, УЗК, АТП,</v>
      </c>
      <c r="G69" s="125">
        <f ca="1">IFERROR(__xludf.DUMMYFUNCTION("""COMPUTED_VALUE"""),2.534)</f>
        <v>2.5339999999999998</v>
      </c>
      <c r="H69" s="125"/>
      <c r="I69" s="131">
        <f ca="1">IFERROR(__xludf.DUMMYFUNCTION("""COMPUTED_VALUE"""),1500000)</f>
        <v>1500000</v>
      </c>
    </row>
    <row r="70" spans="2:9" ht="15.75" x14ac:dyDescent="0.25">
      <c r="B70" s="123" t="str">
        <f ca="1">IFERROR(__xludf.DUMMYFUNCTION("""COMPUTED_VALUE"""),"круг")</f>
        <v>круг</v>
      </c>
      <c r="C70" s="133" t="str">
        <f ca="1">IFERROR(__xludf.DUMMYFUNCTION("""COMPUTED_VALUE"""),"07Х16Н6-Ш ( ЭП288-Ш)")</f>
        <v>07Х16Н6-Ш ( ЭП288-Ш)</v>
      </c>
      <c r="D70" s="124">
        <f ca="1">IFERROR(__xludf.DUMMYFUNCTION("""COMPUTED_VALUE"""),380)</f>
        <v>380</v>
      </c>
      <c r="E70" s="124"/>
      <c r="F70" s="112" t="str">
        <f ca="1">IFERROR(__xludf.DUMMYFUNCTION("""COMPUTED_VALUE"""),"ТУ14-1-1660-76,  IVК, УЗК, МКК РТ")</f>
        <v>ТУ14-1-1660-76,  IVК, УЗК, МКК РТ</v>
      </c>
      <c r="G70" s="125">
        <f ca="1">IFERROR(__xludf.DUMMYFUNCTION("""COMPUTED_VALUE"""),0.313)</f>
        <v>0.313</v>
      </c>
      <c r="H70" s="125"/>
      <c r="I70" s="131">
        <f ca="1">IFERROR(__xludf.DUMMYFUNCTION("""COMPUTED_VALUE"""),1100000)</f>
        <v>1100000</v>
      </c>
    </row>
    <row r="71" spans="2:9" ht="15.75" x14ac:dyDescent="0.25">
      <c r="B71" s="123" t="str">
        <f ca="1">IFERROR(__xludf.DUMMYFUNCTION("""COMPUTED_VALUE"""),"круг")</f>
        <v>круг</v>
      </c>
      <c r="C71" s="133" t="str">
        <f ca="1">IFERROR(__xludf.DUMMYFUNCTION("""COMPUTED_VALUE"""),"07Х16Н6-Ш ( ЭП288-Ш)")</f>
        <v>07Х16Н6-Ш ( ЭП288-Ш)</v>
      </c>
      <c r="D71" s="124">
        <f ca="1">IFERROR(__xludf.DUMMYFUNCTION("""COMPUTED_VALUE"""),380)</f>
        <v>380</v>
      </c>
      <c r="E71" s="124"/>
      <c r="F71" s="112" t="str">
        <f ca="1">IFERROR(__xludf.DUMMYFUNCTION("""COMPUTED_VALUE"""),"ТУ14-1-1660-76,  IVК, УЗК, МКК РТ")</f>
        <v>ТУ14-1-1660-76,  IVК, УЗК, МКК РТ</v>
      </c>
      <c r="G71" s="125">
        <f ca="1">IFERROR(__xludf.DUMMYFUNCTION("""COMPUTED_VALUE"""),1.032)</f>
        <v>1.032</v>
      </c>
      <c r="H71" s="125"/>
      <c r="I71" s="131">
        <f ca="1">IFERROR(__xludf.DUMMYFUNCTION("""COMPUTED_VALUE"""),1100000)</f>
        <v>1100000</v>
      </c>
    </row>
    <row r="72" spans="2:9" ht="15.75" x14ac:dyDescent="0.25">
      <c r="B72" s="123" t="str">
        <f ca="1">IFERROR(__xludf.DUMMYFUNCTION("""COMPUTED_VALUE"""),"круг")</f>
        <v>круг</v>
      </c>
      <c r="C72" s="133" t="str">
        <f ca="1">IFERROR(__xludf.DUMMYFUNCTION("""COMPUTED_VALUE"""),"07Х16Н6-Ш ( ЭП288-Ш)")</f>
        <v>07Х16Н6-Ш ( ЭП288-Ш)</v>
      </c>
      <c r="D72" s="124">
        <f ca="1">IFERROR(__xludf.DUMMYFUNCTION("""COMPUTED_VALUE"""),400)</f>
        <v>400</v>
      </c>
      <c r="E72" s="124"/>
      <c r="F72" s="112" t="str">
        <f ca="1">IFERROR(__xludf.DUMMYFUNCTION("""COMPUTED_VALUE"""),"ТУ14-1-1660-76,  IVК, УЗК, МКК РТ")</f>
        <v>ТУ14-1-1660-76,  IVК, УЗК, МКК РТ</v>
      </c>
      <c r="G72" s="125">
        <f ca="1">IFERROR(__xludf.DUMMYFUNCTION("""COMPUTED_VALUE"""),1.941)</f>
        <v>1.9410000000000001</v>
      </c>
      <c r="H72" s="125"/>
      <c r="I72" s="131">
        <f ca="1">IFERROR(__xludf.DUMMYFUNCTION("""COMPUTED_VALUE"""),1100000)</f>
        <v>1100000</v>
      </c>
    </row>
    <row r="73" spans="2:9" ht="15.75" x14ac:dyDescent="0.25">
      <c r="B73" s="123" t="str">
        <f ca="1">IFERROR(__xludf.DUMMYFUNCTION("""COMPUTED_VALUE"""),"круг")</f>
        <v>круг</v>
      </c>
      <c r="C73" s="133" t="str">
        <f ca="1">IFERROR(__xludf.DUMMYFUNCTION("""COMPUTED_VALUE"""),"07Х16Н6-Ш ( ЭП288-Ш)")</f>
        <v>07Х16Н6-Ш ( ЭП288-Ш)</v>
      </c>
      <c r="D73" s="124">
        <f ca="1">IFERROR(__xludf.DUMMYFUNCTION("""COMPUTED_VALUE"""),450)</f>
        <v>450</v>
      </c>
      <c r="E73" s="124"/>
      <c r="F73" s="112" t="str">
        <f ca="1">IFERROR(__xludf.DUMMYFUNCTION("""COMPUTED_VALUE"""),"ТУ14-1-1660-76,  IVК, УЗК, МКК РТ")</f>
        <v>ТУ14-1-1660-76,  IVК, УЗК, МКК РТ</v>
      </c>
      <c r="G73" s="125">
        <f ca="1">IFERROR(__xludf.DUMMYFUNCTION("""COMPUTED_VALUE"""),0.515)</f>
        <v>0.51500000000000001</v>
      </c>
      <c r="H73" s="125"/>
      <c r="I73" s="131">
        <f ca="1">IFERROR(__xludf.DUMMYFUNCTION("""COMPUTED_VALUE"""),1100000)</f>
        <v>1100000</v>
      </c>
    </row>
    <row r="74" spans="2:9" ht="15.75" x14ac:dyDescent="0.25">
      <c r="B74" s="123" t="str">
        <f ca="1">IFERROR(__xludf.DUMMYFUNCTION("""COMPUTED_VALUE"""),"круг")</f>
        <v>круг</v>
      </c>
      <c r="C74" s="133" t="str">
        <f ca="1">IFERROR(__xludf.DUMMYFUNCTION("""COMPUTED_VALUE"""),"07Х16Н6 (ЭП288)")</f>
        <v>07Х16Н6 (ЭП288)</v>
      </c>
      <c r="D74" s="124">
        <f ca="1">IFERROR(__xludf.DUMMYFUNCTION("""COMPUTED_VALUE"""),8)</f>
        <v>8</v>
      </c>
      <c r="E74" s="124"/>
      <c r="F74" s="112" t="str">
        <f ca="1">IFERROR(__xludf.DUMMYFUNCTION("""COMPUTED_VALUE"""),"ту 14-1-205, НД, АТП, УзК")</f>
        <v>ту 14-1-205, НД, АТП, УзК</v>
      </c>
      <c r="G74" s="125">
        <f ca="1">IFERROR(__xludf.DUMMYFUNCTION("""COMPUTED_VALUE"""),0.297)</f>
        <v>0.29699999999999999</v>
      </c>
      <c r="H74" s="125"/>
      <c r="I74" s="131">
        <f ca="1">IFERROR(__xludf.DUMMYFUNCTION("""COMPUTED_VALUE"""),900000)</f>
        <v>900000</v>
      </c>
    </row>
    <row r="75" spans="2:9" ht="15.75" x14ac:dyDescent="0.25">
      <c r="B75" s="123" t="str">
        <f ca="1">IFERROR(__xludf.DUMMYFUNCTION("""COMPUTED_VALUE"""),"круг")</f>
        <v>круг</v>
      </c>
      <c r="C75" s="133" t="str">
        <f ca="1">IFERROR(__xludf.DUMMYFUNCTION("""COMPUTED_VALUE"""),"07Х16Н6 (ЭП288)")</f>
        <v>07Х16Н6 (ЭП288)</v>
      </c>
      <c r="D75" s="124">
        <f ca="1">IFERROR(__xludf.DUMMYFUNCTION("""COMPUTED_VALUE"""),9)</f>
        <v>9</v>
      </c>
      <c r="E75" s="124"/>
      <c r="F75" s="112" t="str">
        <f ca="1">IFERROR(__xludf.DUMMYFUNCTION("""COMPUTED_VALUE"""),"ту 14-1-205, НД, АТП, УзК")</f>
        <v>ту 14-1-205, НД, АТП, УзК</v>
      </c>
      <c r="G75" s="125">
        <f ca="1">IFERROR(__xludf.DUMMYFUNCTION("""COMPUTED_VALUE"""),0.12)</f>
        <v>0.12</v>
      </c>
      <c r="H75" s="125"/>
      <c r="I75" s="131">
        <f ca="1">IFERROR(__xludf.DUMMYFUNCTION("""COMPUTED_VALUE"""),900000)</f>
        <v>900000</v>
      </c>
    </row>
    <row r="76" spans="2:9" ht="15.75" x14ac:dyDescent="0.25">
      <c r="B76" s="123" t="str">
        <f ca="1">IFERROR(__xludf.DUMMYFUNCTION("""COMPUTED_VALUE"""),"круг")</f>
        <v>круг</v>
      </c>
      <c r="C76" s="133" t="str">
        <f ca="1">IFERROR(__xludf.DUMMYFUNCTION("""COMPUTED_VALUE"""),"07Х16Н6 (ЭП288)")</f>
        <v>07Х16Н6 (ЭП288)</v>
      </c>
      <c r="D76" s="124">
        <f ca="1">IFERROR(__xludf.DUMMYFUNCTION("""COMPUTED_VALUE"""),9)</f>
        <v>9</v>
      </c>
      <c r="E76" s="124"/>
      <c r="F76" s="112" t="str">
        <f ca="1">IFERROR(__xludf.DUMMYFUNCTION("""COMPUTED_VALUE"""),"ту 14-1-205, НД, АТП, УзК")</f>
        <v>ту 14-1-205, НД, АТП, УзК</v>
      </c>
      <c r="G76" s="125">
        <f ca="1">IFERROR(__xludf.DUMMYFUNCTION("""COMPUTED_VALUE"""),0.191)</f>
        <v>0.191</v>
      </c>
      <c r="H76" s="125"/>
      <c r="I76" s="131">
        <f ca="1">IFERROR(__xludf.DUMMYFUNCTION("""COMPUTED_VALUE"""),900000)</f>
        <v>900000</v>
      </c>
    </row>
    <row r="77" spans="2:9" ht="15.75" x14ac:dyDescent="0.25">
      <c r="B77" s="123" t="str">
        <f ca="1">IFERROR(__xludf.DUMMYFUNCTION("""COMPUTED_VALUE"""),"круг")</f>
        <v>круг</v>
      </c>
      <c r="C77" s="133" t="str">
        <f ca="1">IFERROR(__xludf.DUMMYFUNCTION("""COMPUTED_VALUE"""),"07Х16Н6 (ЭП288)")</f>
        <v>07Х16Н6 (ЭП288)</v>
      </c>
      <c r="D77" s="124">
        <f ca="1">IFERROR(__xludf.DUMMYFUNCTION("""COMPUTED_VALUE"""),10)</f>
        <v>10</v>
      </c>
      <c r="E77" s="124"/>
      <c r="F77" s="112" t="str">
        <f ca="1">IFERROR(__xludf.DUMMYFUNCTION("""COMPUTED_VALUE"""),"ту 14-1-205, НД, АТП, УзК")</f>
        <v>ту 14-1-205, НД, АТП, УзК</v>
      </c>
      <c r="G77" s="125">
        <f ca="1">IFERROR(__xludf.DUMMYFUNCTION("""COMPUTED_VALUE"""),0.274999999999999)</f>
        <v>0.27499999999999902</v>
      </c>
      <c r="H77" s="125"/>
      <c r="I77" s="131">
        <f ca="1">IFERROR(__xludf.DUMMYFUNCTION("""COMPUTED_VALUE"""),810000)</f>
        <v>810000</v>
      </c>
    </row>
    <row r="78" spans="2:9" ht="15.75" x14ac:dyDescent="0.25">
      <c r="B78" s="123" t="str">
        <f ca="1">IFERROR(__xludf.DUMMYFUNCTION("""COMPUTED_VALUE"""),"круг")</f>
        <v>круг</v>
      </c>
      <c r="C78" s="133" t="str">
        <f ca="1">IFERROR(__xludf.DUMMYFUNCTION("""COMPUTED_VALUE"""),"07Х16Н6 (ЭП288)")</f>
        <v>07Х16Н6 (ЭП288)</v>
      </c>
      <c r="D78" s="124">
        <f ca="1">IFERROR(__xludf.DUMMYFUNCTION("""COMPUTED_VALUE"""),10)</f>
        <v>10</v>
      </c>
      <c r="E78" s="124"/>
      <c r="F78" s="112" t="str">
        <f ca="1">IFERROR(__xludf.DUMMYFUNCTION("""COMPUTED_VALUE"""),"ту 14-1-205, НД, АТП, УзК")</f>
        <v>ту 14-1-205, НД, АТП, УзК</v>
      </c>
      <c r="G78" s="125">
        <f ca="1">IFERROR(__xludf.DUMMYFUNCTION("""COMPUTED_VALUE"""),0.102)</f>
        <v>0.10199999999999999</v>
      </c>
      <c r="H78" s="125"/>
      <c r="I78" s="131">
        <f ca="1">IFERROR(__xludf.DUMMYFUNCTION("""COMPUTED_VALUE"""),810000)</f>
        <v>810000</v>
      </c>
    </row>
    <row r="79" spans="2:9" ht="15.75" x14ac:dyDescent="0.25">
      <c r="B79" s="123" t="str">
        <f ca="1">IFERROR(__xludf.DUMMYFUNCTION("""COMPUTED_VALUE"""),"круг")</f>
        <v>круг</v>
      </c>
      <c r="C79" s="133" t="str">
        <f ca="1">IFERROR(__xludf.DUMMYFUNCTION("""COMPUTED_VALUE"""),"07Х16Н6 (ЭП288)")</f>
        <v>07Х16Н6 (ЭП288)</v>
      </c>
      <c r="D79" s="124">
        <f ca="1">IFERROR(__xludf.DUMMYFUNCTION("""COMPUTED_VALUE"""),10)</f>
        <v>10</v>
      </c>
      <c r="E79" s="124"/>
      <c r="F79" s="112" t="str">
        <f ca="1">IFERROR(__xludf.DUMMYFUNCTION("""COMPUTED_VALUE"""),"ту 14-1-205, НД, АТП, УзК")</f>
        <v>ту 14-1-205, НД, АТП, УзК</v>
      </c>
      <c r="G79" s="125">
        <f ca="1">IFERROR(__xludf.DUMMYFUNCTION("""COMPUTED_VALUE"""),0.304)</f>
        <v>0.30399999999999999</v>
      </c>
      <c r="H79" s="125"/>
      <c r="I79" s="131">
        <f ca="1">IFERROR(__xludf.DUMMYFUNCTION("""COMPUTED_VALUE"""),810000)</f>
        <v>810000</v>
      </c>
    </row>
    <row r="80" spans="2:9" ht="15.75" x14ac:dyDescent="0.25">
      <c r="B80" s="123" t="str">
        <f ca="1">IFERROR(__xludf.DUMMYFUNCTION("""COMPUTED_VALUE"""),"круг")</f>
        <v>круг</v>
      </c>
      <c r="C80" s="133" t="str">
        <f ca="1">IFERROR(__xludf.DUMMYFUNCTION("""COMPUTED_VALUE"""),"07Х16Н6 (ЭП288)")</f>
        <v>07Х16Н6 (ЭП288)</v>
      </c>
      <c r="D80" s="124">
        <f ca="1">IFERROR(__xludf.DUMMYFUNCTION("""COMPUTED_VALUE"""),20)</f>
        <v>20</v>
      </c>
      <c r="E80" s="124"/>
      <c r="F80" s="112" t="str">
        <f ca="1">IFERROR(__xludf.DUMMYFUNCTION("""COMPUTED_VALUE"""),"ту 14-1-205, НД, АТП, УзК")</f>
        <v>ту 14-1-205, НД, АТП, УзК</v>
      </c>
      <c r="G80" s="125">
        <f ca="1">IFERROR(__xludf.DUMMYFUNCTION("""COMPUTED_VALUE"""),0.00499999999999989)</f>
        <v>4.9999999999998899E-3</v>
      </c>
      <c r="H80" s="125"/>
      <c r="I80" s="131">
        <f ca="1">IFERROR(__xludf.DUMMYFUNCTION("""COMPUTED_VALUE"""),810000)</f>
        <v>810000</v>
      </c>
    </row>
    <row r="81" spans="2:9" ht="15.75" x14ac:dyDescent="0.25">
      <c r="B81" s="123" t="str">
        <f ca="1">IFERROR(__xludf.DUMMYFUNCTION("""COMPUTED_VALUE"""),"круг")</f>
        <v>круг</v>
      </c>
      <c r="C81" s="133" t="str">
        <f ca="1">IFERROR(__xludf.DUMMYFUNCTION("""COMPUTED_VALUE"""),"07Х16Н6 (ЭП288)")</f>
        <v>07Х16Н6 (ЭП288)</v>
      </c>
      <c r="D81" s="124">
        <f ca="1">IFERROR(__xludf.DUMMYFUNCTION("""COMPUTED_VALUE"""),25)</f>
        <v>25</v>
      </c>
      <c r="E81" s="124"/>
      <c r="F81" s="112" t="str">
        <f ca="1">IFERROR(__xludf.DUMMYFUNCTION("""COMPUTED_VALUE"""),"ту 14-1-205, НД, АТП, УзК")</f>
        <v>ту 14-1-205, НД, АТП, УзК</v>
      </c>
      <c r="G81" s="125">
        <f ca="1">IFERROR(__xludf.DUMMYFUNCTION("""COMPUTED_VALUE"""),0.184)</f>
        <v>0.184</v>
      </c>
      <c r="H81" s="125"/>
      <c r="I81" s="131">
        <f ca="1">IFERROR(__xludf.DUMMYFUNCTION("""COMPUTED_VALUE"""),810000)</f>
        <v>810000</v>
      </c>
    </row>
    <row r="82" spans="2:9" ht="15.75" x14ac:dyDescent="0.25">
      <c r="B82" s="123" t="str">
        <f ca="1">IFERROR(__xludf.DUMMYFUNCTION("""COMPUTED_VALUE"""),"круг")</f>
        <v>круг</v>
      </c>
      <c r="C82" s="133" t="str">
        <f ca="1">IFERROR(__xludf.DUMMYFUNCTION("""COMPUTED_VALUE"""),"07Х16Н6 (ЭП288)")</f>
        <v>07Х16Н6 (ЭП288)</v>
      </c>
      <c r="D82" s="124">
        <f ca="1">IFERROR(__xludf.DUMMYFUNCTION("""COMPUTED_VALUE"""),30)</f>
        <v>30</v>
      </c>
      <c r="E82" s="124"/>
      <c r="F82" s="112" t="str">
        <f ca="1">IFERROR(__xludf.DUMMYFUNCTION("""COMPUTED_VALUE"""),"ту 14-1-205, НД, АТП, УзК")</f>
        <v>ту 14-1-205, НД, АТП, УзК</v>
      </c>
      <c r="G82" s="125">
        <f ca="1">IFERROR(__xludf.DUMMYFUNCTION("""COMPUTED_VALUE"""),0.0149999999999996)</f>
        <v>1.49999999999996E-2</v>
      </c>
      <c r="H82" s="125"/>
      <c r="I82" s="131">
        <f ca="1">IFERROR(__xludf.DUMMYFUNCTION("""COMPUTED_VALUE"""),750000)</f>
        <v>750000</v>
      </c>
    </row>
    <row r="83" spans="2:9" ht="15.75" x14ac:dyDescent="0.25">
      <c r="B83" s="123" t="str">
        <f ca="1">IFERROR(__xludf.DUMMYFUNCTION("""COMPUTED_VALUE"""),"круг")</f>
        <v>круг</v>
      </c>
      <c r="C83" s="133" t="str">
        <f ca="1">IFERROR(__xludf.DUMMYFUNCTION("""COMPUTED_VALUE"""),"07Х16Н6 (ЭП288)")</f>
        <v>07Х16Н6 (ЭП288)</v>
      </c>
      <c r="D83" s="124">
        <f ca="1">IFERROR(__xludf.DUMMYFUNCTION("""COMPUTED_VALUE"""),32)</f>
        <v>32</v>
      </c>
      <c r="E83" s="124"/>
      <c r="F83" s="112" t="str">
        <f ca="1">IFERROR(__xludf.DUMMYFUNCTION("""COMPUTED_VALUE"""),"ту 14-1-205, НД, АТП, УзК")</f>
        <v>ту 14-1-205, НД, АТП, УзК</v>
      </c>
      <c r="G83" s="125">
        <f ca="1">IFERROR(__xludf.DUMMYFUNCTION("""COMPUTED_VALUE"""),1.365)</f>
        <v>1.365</v>
      </c>
      <c r="H83" s="125"/>
      <c r="I83" s="131">
        <f ca="1">IFERROR(__xludf.DUMMYFUNCTION("""COMPUTED_VALUE"""),760000)</f>
        <v>760000</v>
      </c>
    </row>
    <row r="84" spans="2:9" ht="15.75" x14ac:dyDescent="0.25">
      <c r="B84" s="123" t="str">
        <f ca="1">IFERROR(__xludf.DUMMYFUNCTION("""COMPUTED_VALUE"""),"круг")</f>
        <v>круг</v>
      </c>
      <c r="C84" s="133" t="str">
        <f ca="1">IFERROR(__xludf.DUMMYFUNCTION("""COMPUTED_VALUE"""),"07Х16Н6 (ЭП288)")</f>
        <v>07Х16Н6 (ЭП288)</v>
      </c>
      <c r="D84" s="124">
        <f ca="1">IFERROR(__xludf.DUMMYFUNCTION("""COMPUTED_VALUE"""),36)</f>
        <v>36</v>
      </c>
      <c r="E84" s="124"/>
      <c r="F84" s="112" t="str">
        <f ca="1">IFERROR(__xludf.DUMMYFUNCTION("""COMPUTED_VALUE"""),"ту 14-1-205, НД, АТП, УзК")</f>
        <v>ту 14-1-205, НД, АТП, УзК</v>
      </c>
      <c r="G84" s="125">
        <f ca="1">IFERROR(__xludf.DUMMYFUNCTION("""COMPUTED_VALUE"""),1.113)</f>
        <v>1.113</v>
      </c>
      <c r="H84" s="125"/>
      <c r="I84" s="131">
        <f ca="1">IFERROR(__xludf.DUMMYFUNCTION("""COMPUTED_VALUE"""),750000)</f>
        <v>750000</v>
      </c>
    </row>
    <row r="85" spans="2:9" ht="15.75" x14ac:dyDescent="0.25">
      <c r="B85" s="123" t="str">
        <f ca="1">IFERROR(__xludf.DUMMYFUNCTION("""COMPUTED_VALUE"""),"круг")</f>
        <v>круг</v>
      </c>
      <c r="C85" s="133" t="str">
        <f ca="1">IFERROR(__xludf.DUMMYFUNCTION("""COMPUTED_VALUE"""),"07Х16Н6 (ЭП288)")</f>
        <v>07Х16Н6 (ЭП288)</v>
      </c>
      <c r="D85" s="124">
        <f ca="1">IFERROR(__xludf.DUMMYFUNCTION("""COMPUTED_VALUE"""),38)</f>
        <v>38</v>
      </c>
      <c r="E85" s="124"/>
      <c r="F85" s="112" t="str">
        <f ca="1">IFERROR(__xludf.DUMMYFUNCTION("""COMPUTED_VALUE"""),"ту 14-1-205, НД, АТП, УзК")</f>
        <v>ту 14-1-205, НД, АТП, УзК</v>
      </c>
      <c r="G85" s="125">
        <f ca="1">IFERROR(__xludf.DUMMYFUNCTION("""COMPUTED_VALUE"""),0.158999999999999)</f>
        <v>0.158999999999999</v>
      </c>
      <c r="H85" s="125"/>
      <c r="I85" s="131">
        <f ca="1">IFERROR(__xludf.DUMMYFUNCTION("""COMPUTED_VALUE"""),760000)</f>
        <v>760000</v>
      </c>
    </row>
    <row r="86" spans="2:9" ht="15.75" x14ac:dyDescent="0.25">
      <c r="B86" s="123" t="str">
        <f ca="1">IFERROR(__xludf.DUMMYFUNCTION("""COMPUTED_VALUE"""),"круг")</f>
        <v>круг</v>
      </c>
      <c r="C86" s="133" t="str">
        <f ca="1">IFERROR(__xludf.DUMMYFUNCTION("""COMPUTED_VALUE"""),"07Х16Н6 (ЭП288)")</f>
        <v>07Х16Н6 (ЭП288)</v>
      </c>
      <c r="D86" s="124">
        <f ca="1">IFERROR(__xludf.DUMMYFUNCTION("""COMPUTED_VALUE"""),38)</f>
        <v>38</v>
      </c>
      <c r="E86" s="124"/>
      <c r="F86" s="112" t="str">
        <f ca="1">IFERROR(__xludf.DUMMYFUNCTION("""COMPUTED_VALUE"""),"ту 14-1-205, НД, АТП, УзК")</f>
        <v>ту 14-1-205, НД, АТП, УзК</v>
      </c>
      <c r="G86" s="125">
        <f ca="1">IFERROR(__xludf.DUMMYFUNCTION("""COMPUTED_VALUE"""),0.192)</f>
        <v>0.192</v>
      </c>
      <c r="H86" s="125"/>
      <c r="I86" s="131">
        <f ca="1">IFERROR(__xludf.DUMMYFUNCTION("""COMPUTED_VALUE"""),760000)</f>
        <v>760000</v>
      </c>
    </row>
    <row r="87" spans="2:9" ht="15.75" x14ac:dyDescent="0.25">
      <c r="B87" s="123" t="str">
        <f ca="1">IFERROR(__xludf.DUMMYFUNCTION("""COMPUTED_VALUE"""),"круг")</f>
        <v>круг</v>
      </c>
      <c r="C87" s="133" t="str">
        <f ca="1">IFERROR(__xludf.DUMMYFUNCTION("""COMPUTED_VALUE"""),"07Х16Н6 (ЭП288)")</f>
        <v>07Х16Н6 (ЭП288)</v>
      </c>
      <c r="D87" s="124">
        <f ca="1">IFERROR(__xludf.DUMMYFUNCTION("""COMPUTED_VALUE"""),38)</f>
        <v>38</v>
      </c>
      <c r="E87" s="124"/>
      <c r="F87" s="112" t="str">
        <f ca="1">IFERROR(__xludf.DUMMYFUNCTION("""COMPUTED_VALUE"""),"ту 14-1-205, НД, АТП, УзК ")</f>
        <v xml:space="preserve">ту 14-1-205, НД, АТП, УзК </v>
      </c>
      <c r="G87" s="125">
        <f ca="1">IFERROR(__xludf.DUMMYFUNCTION("""COMPUTED_VALUE"""),0.288)</f>
        <v>0.28799999999999998</v>
      </c>
      <c r="H87" s="125"/>
      <c r="I87" s="131">
        <f ca="1">IFERROR(__xludf.DUMMYFUNCTION("""COMPUTED_VALUE"""),760000)</f>
        <v>760000</v>
      </c>
    </row>
    <row r="88" spans="2:9" ht="15.75" x14ac:dyDescent="0.25">
      <c r="B88" s="123" t="str">
        <f ca="1">IFERROR(__xludf.DUMMYFUNCTION("""COMPUTED_VALUE"""),"круг")</f>
        <v>круг</v>
      </c>
      <c r="C88" s="133" t="str">
        <f ca="1">IFERROR(__xludf.DUMMYFUNCTION("""COMPUTED_VALUE"""),"07Х16Н6 (ЭП288)")</f>
        <v>07Х16Н6 (ЭП288)</v>
      </c>
      <c r="D88" s="124">
        <f ca="1">IFERROR(__xludf.DUMMYFUNCTION("""COMPUTED_VALUE"""),38)</f>
        <v>38</v>
      </c>
      <c r="E88" s="124"/>
      <c r="F88" s="112" t="str">
        <f ca="1">IFERROR(__xludf.DUMMYFUNCTION("""COMPUTED_VALUE"""),"ту 14-1-205, НД, АТП, УзК  ")</f>
        <v xml:space="preserve">ту 14-1-205, НД, АТП, УзК  </v>
      </c>
      <c r="G88" s="125">
        <f ca="1">IFERROR(__xludf.DUMMYFUNCTION("""COMPUTED_VALUE"""),0.43)</f>
        <v>0.43</v>
      </c>
      <c r="H88" s="125"/>
      <c r="I88" s="131">
        <f ca="1">IFERROR(__xludf.DUMMYFUNCTION("""COMPUTED_VALUE"""),760000)</f>
        <v>760000</v>
      </c>
    </row>
    <row r="89" spans="2:9" ht="15.75" x14ac:dyDescent="0.25">
      <c r="B89" s="123" t="str">
        <f ca="1">IFERROR(__xludf.DUMMYFUNCTION("""COMPUTED_VALUE"""),"круг")</f>
        <v>круг</v>
      </c>
      <c r="C89" s="133" t="str">
        <f ca="1">IFERROR(__xludf.DUMMYFUNCTION("""COMPUTED_VALUE"""),"07Х16Н6 (ЭП288)")</f>
        <v>07Х16Н6 (ЭП288)</v>
      </c>
      <c r="D89" s="124">
        <f ca="1">IFERROR(__xludf.DUMMYFUNCTION("""COMPUTED_VALUE"""),38)</f>
        <v>38</v>
      </c>
      <c r="E89" s="124"/>
      <c r="F89" s="112" t="str">
        <f ca="1">IFERROR(__xludf.DUMMYFUNCTION("""COMPUTED_VALUE"""),"ту 14-1-205, НД, АТП, УзК")</f>
        <v>ту 14-1-205, НД, АТП, УзК</v>
      </c>
      <c r="G89" s="125">
        <f ca="1">IFERROR(__xludf.DUMMYFUNCTION("""COMPUTED_VALUE"""),0.08)</f>
        <v>0.08</v>
      </c>
      <c r="H89" s="125"/>
      <c r="I89" s="131">
        <f ca="1">IFERROR(__xludf.DUMMYFUNCTION("""COMPUTED_VALUE"""),760000)</f>
        <v>760000</v>
      </c>
    </row>
    <row r="90" spans="2:9" ht="15.75" x14ac:dyDescent="0.25">
      <c r="B90" s="123" t="str">
        <f ca="1">IFERROR(__xludf.DUMMYFUNCTION("""COMPUTED_VALUE"""),"круг")</f>
        <v>круг</v>
      </c>
      <c r="C90" s="133" t="str">
        <f ca="1">IFERROR(__xludf.DUMMYFUNCTION("""COMPUTED_VALUE"""),"07Х16Н6 (ЭП288)")</f>
        <v>07Х16Н6 (ЭП288)</v>
      </c>
      <c r="D90" s="124">
        <f ca="1">IFERROR(__xludf.DUMMYFUNCTION("""COMPUTED_VALUE"""),38)</f>
        <v>38</v>
      </c>
      <c r="E90" s="124"/>
      <c r="F90" s="112" t="str">
        <f ca="1">IFERROR(__xludf.DUMMYFUNCTION("""COMPUTED_VALUE"""),"ту 14-1-205, НД, АТП, УзК")</f>
        <v>ту 14-1-205, НД, АТП, УзК</v>
      </c>
      <c r="G90" s="125">
        <f ca="1">IFERROR(__xludf.DUMMYFUNCTION("""COMPUTED_VALUE"""),0.206)</f>
        <v>0.20599999999999999</v>
      </c>
      <c r="H90" s="125"/>
      <c r="I90" s="131">
        <f ca="1">IFERROR(__xludf.DUMMYFUNCTION("""COMPUTED_VALUE"""),760000)</f>
        <v>760000</v>
      </c>
    </row>
    <row r="91" spans="2:9" ht="15.75" x14ac:dyDescent="0.25">
      <c r="B91" s="123" t="str">
        <f ca="1">IFERROR(__xludf.DUMMYFUNCTION("""COMPUTED_VALUE"""),"круг")</f>
        <v>круг</v>
      </c>
      <c r="C91" s="133" t="str">
        <f ca="1">IFERROR(__xludf.DUMMYFUNCTION("""COMPUTED_VALUE"""),"07Х16Н6 (ЭП288)")</f>
        <v>07Х16Н6 (ЭП288)</v>
      </c>
      <c r="D91" s="124">
        <f ca="1">IFERROR(__xludf.DUMMYFUNCTION("""COMPUTED_VALUE"""),40)</f>
        <v>40</v>
      </c>
      <c r="E91" s="124"/>
      <c r="F91" s="112" t="str">
        <f ca="1">IFERROR(__xludf.DUMMYFUNCTION("""COMPUTED_VALUE"""),"ту 14-1-205, НД, АТП, УзК")</f>
        <v>ту 14-1-205, НД, АТП, УзК</v>
      </c>
      <c r="G91" s="125">
        <f ca="1">IFERROR(__xludf.DUMMYFUNCTION("""COMPUTED_VALUE"""),0.0149999999999996)</f>
        <v>1.49999999999996E-2</v>
      </c>
      <c r="H91" s="125"/>
      <c r="I91" s="131">
        <f ca="1">IFERROR(__xludf.DUMMYFUNCTION("""COMPUTED_VALUE"""),750000)</f>
        <v>750000</v>
      </c>
    </row>
    <row r="92" spans="2:9" ht="15.75" x14ac:dyDescent="0.25">
      <c r="B92" s="123" t="str">
        <f ca="1">IFERROR(__xludf.DUMMYFUNCTION("""COMPUTED_VALUE"""),"круг")</f>
        <v>круг</v>
      </c>
      <c r="C92" s="133" t="str">
        <f ca="1">IFERROR(__xludf.DUMMYFUNCTION("""COMPUTED_VALUE"""),"07Х16Н6 (ЭП288)")</f>
        <v>07Х16Н6 (ЭП288)</v>
      </c>
      <c r="D92" s="124">
        <f ca="1">IFERROR(__xludf.DUMMYFUNCTION("""COMPUTED_VALUE"""),40)</f>
        <v>40</v>
      </c>
      <c r="E92" s="124"/>
      <c r="F92" s="112" t="str">
        <f ca="1">IFERROR(__xludf.DUMMYFUNCTION("""COMPUTED_VALUE"""),"ту 14-1-205, НД, АТП, УзК")</f>
        <v>ту 14-1-205, НД, АТП, УзК</v>
      </c>
      <c r="G92" s="125">
        <f ca="1">IFERROR(__xludf.DUMMYFUNCTION("""COMPUTED_VALUE"""),0.817)</f>
        <v>0.81699999999999995</v>
      </c>
      <c r="H92" s="125"/>
      <c r="I92" s="131">
        <f ca="1">IFERROR(__xludf.DUMMYFUNCTION("""COMPUTED_VALUE"""),600000)</f>
        <v>600000</v>
      </c>
    </row>
    <row r="93" spans="2:9" ht="15.75" x14ac:dyDescent="0.25">
      <c r="B93" s="123" t="str">
        <f ca="1">IFERROR(__xludf.DUMMYFUNCTION("""COMPUTED_VALUE"""),"круг")</f>
        <v>круг</v>
      </c>
      <c r="C93" s="133" t="str">
        <f ca="1">IFERROR(__xludf.DUMMYFUNCTION("""COMPUTED_VALUE"""),"07Х16Н6 (ЭП288)")</f>
        <v>07Х16Н6 (ЭП288)</v>
      </c>
      <c r="D93" s="124">
        <f ca="1">IFERROR(__xludf.DUMMYFUNCTION("""COMPUTED_VALUE"""),40)</f>
        <v>40</v>
      </c>
      <c r="E93" s="124"/>
      <c r="F93" s="112" t="str">
        <f ca="1">IFERROR(__xludf.DUMMYFUNCTION("""COMPUTED_VALUE"""),"ту 14-1-205, НД, АТП, УзК")</f>
        <v>ту 14-1-205, НД, АТП, УзК</v>
      </c>
      <c r="G93" s="125">
        <f ca="1">IFERROR(__xludf.DUMMYFUNCTION("""COMPUTED_VALUE"""),2.022)</f>
        <v>2.0219999999999998</v>
      </c>
      <c r="H93" s="125"/>
      <c r="I93" s="131">
        <f ca="1">IFERROR(__xludf.DUMMYFUNCTION("""COMPUTED_VALUE"""),760000)</f>
        <v>760000</v>
      </c>
    </row>
    <row r="94" spans="2:9" ht="15.75" x14ac:dyDescent="0.25">
      <c r="B94" s="123" t="str">
        <f ca="1">IFERROR(__xludf.DUMMYFUNCTION("""COMPUTED_VALUE"""),"круг")</f>
        <v>круг</v>
      </c>
      <c r="C94" s="133" t="str">
        <f ca="1">IFERROR(__xludf.DUMMYFUNCTION("""COMPUTED_VALUE"""),"07Х16Н6 (ЭП288)")</f>
        <v>07Х16Н6 (ЭП288)</v>
      </c>
      <c r="D94" s="124">
        <f ca="1">IFERROR(__xludf.DUMMYFUNCTION("""COMPUTED_VALUE"""),45)</f>
        <v>45</v>
      </c>
      <c r="E94" s="124"/>
      <c r="F94" s="112" t="str">
        <f ca="1">IFERROR(__xludf.DUMMYFUNCTION("""COMPUTED_VALUE"""),"ту 14-1-205, НД, АТП, УзК")</f>
        <v>ту 14-1-205, НД, АТП, УзК</v>
      </c>
      <c r="G94" s="125">
        <f ca="1">IFERROR(__xludf.DUMMYFUNCTION("""COMPUTED_VALUE"""),0.914)</f>
        <v>0.91400000000000003</v>
      </c>
      <c r="H94" s="125"/>
      <c r="I94" s="131">
        <f ca="1">IFERROR(__xludf.DUMMYFUNCTION("""COMPUTED_VALUE"""),750000)</f>
        <v>750000</v>
      </c>
    </row>
    <row r="95" spans="2:9" ht="15.75" x14ac:dyDescent="0.25">
      <c r="B95" s="123" t="str">
        <f ca="1">IFERROR(__xludf.DUMMYFUNCTION("""COMPUTED_VALUE"""),"круг")</f>
        <v>круг</v>
      </c>
      <c r="C95" s="133" t="str">
        <f ca="1">IFERROR(__xludf.DUMMYFUNCTION("""COMPUTED_VALUE"""),"07Х16Н6 (ЭП288)")</f>
        <v>07Х16Н6 (ЭП288)</v>
      </c>
      <c r="D95" s="124">
        <f ca="1">IFERROR(__xludf.DUMMYFUNCTION("""COMPUTED_VALUE"""),50)</f>
        <v>50</v>
      </c>
      <c r="E95" s="124"/>
      <c r="F95" s="112" t="str">
        <f ca="1">IFERROR(__xludf.DUMMYFUNCTION("""COMPUTED_VALUE"""),"ту 14-1-205, НД, АТП, УзК")</f>
        <v>ту 14-1-205, НД, АТП, УзК</v>
      </c>
      <c r="G95" s="125">
        <f ca="1">IFERROR(__xludf.DUMMYFUNCTION("""COMPUTED_VALUE"""),1.665)</f>
        <v>1.665</v>
      </c>
      <c r="H95" s="125"/>
      <c r="I95" s="131">
        <f ca="1">IFERROR(__xludf.DUMMYFUNCTION("""COMPUTED_VALUE"""),750000)</f>
        <v>750000</v>
      </c>
    </row>
    <row r="96" spans="2:9" ht="15.75" x14ac:dyDescent="0.25">
      <c r="B96" s="123" t="str">
        <f ca="1">IFERROR(__xludf.DUMMYFUNCTION("""COMPUTED_VALUE"""),"круг")</f>
        <v>круг</v>
      </c>
      <c r="C96" s="133" t="str">
        <f ca="1">IFERROR(__xludf.DUMMYFUNCTION("""COMPUTED_VALUE"""),"07Х16Н6 (ЭП288)")</f>
        <v>07Х16Н6 (ЭП288)</v>
      </c>
      <c r="D96" s="124">
        <f ca="1">IFERROR(__xludf.DUMMYFUNCTION("""COMPUTED_VALUE"""),56)</f>
        <v>56</v>
      </c>
      <c r="E96" s="124"/>
      <c r="F96" s="112" t="str">
        <f ca="1">IFERROR(__xludf.DUMMYFUNCTION("""COMPUTED_VALUE"""),"ту 14-1-205, НД, АТП, УзК")</f>
        <v>ту 14-1-205, НД, АТП, УзК</v>
      </c>
      <c r="G96" s="125">
        <f ca="1">IFERROR(__xludf.DUMMYFUNCTION("""COMPUTED_VALUE"""),2.179)</f>
        <v>2.1789999999999998</v>
      </c>
      <c r="H96" s="125"/>
      <c r="I96" s="131">
        <f ca="1">IFERROR(__xludf.DUMMYFUNCTION("""COMPUTED_VALUE"""),750000)</f>
        <v>750000</v>
      </c>
    </row>
    <row r="97" spans="2:9" ht="15.75" x14ac:dyDescent="0.25">
      <c r="B97" s="123" t="str">
        <f ca="1">IFERROR(__xludf.DUMMYFUNCTION("""COMPUTED_VALUE"""),"круг")</f>
        <v>круг</v>
      </c>
      <c r="C97" s="133" t="str">
        <f ca="1">IFERROR(__xludf.DUMMYFUNCTION("""COMPUTED_VALUE"""),"07Х16Н6 (ЭП288)")</f>
        <v>07Х16Н6 (ЭП288)</v>
      </c>
      <c r="D97" s="124">
        <f ca="1">IFERROR(__xludf.DUMMYFUNCTION("""COMPUTED_VALUE"""),60)</f>
        <v>60</v>
      </c>
      <c r="E97" s="124"/>
      <c r="F97" s="112" t="str">
        <f ca="1">IFERROR(__xludf.DUMMYFUNCTION("""COMPUTED_VALUE"""),"ту 14-1-205, НД, АТП, УзК, обт")</f>
        <v>ту 14-1-205, НД, АТП, УзК, обт</v>
      </c>
      <c r="G97" s="125">
        <f ca="1">IFERROR(__xludf.DUMMYFUNCTION("""COMPUTED_VALUE"""),2.2)</f>
        <v>2.2000000000000002</v>
      </c>
      <c r="H97" s="125"/>
      <c r="I97" s="131">
        <f ca="1">IFERROR(__xludf.DUMMYFUNCTION("""COMPUTED_VALUE"""),580000)</f>
        <v>580000</v>
      </c>
    </row>
    <row r="98" spans="2:9" ht="15.75" x14ac:dyDescent="0.25">
      <c r="B98" s="123" t="str">
        <f ca="1">IFERROR(__xludf.DUMMYFUNCTION("""COMPUTED_VALUE"""),"круг")</f>
        <v>круг</v>
      </c>
      <c r="C98" s="133" t="str">
        <f ca="1">IFERROR(__xludf.DUMMYFUNCTION("""COMPUTED_VALUE"""),"07Х16Н6 (ЭП288)")</f>
        <v>07Х16Н6 (ЭП288)</v>
      </c>
      <c r="D98" s="124">
        <f ca="1">IFERROR(__xludf.DUMMYFUNCTION("""COMPUTED_VALUE"""),60)</f>
        <v>60</v>
      </c>
      <c r="E98" s="124"/>
      <c r="F98" s="112" t="str">
        <f ca="1">IFERROR(__xludf.DUMMYFUNCTION("""COMPUTED_VALUE"""),"ту 14-1-205, НД, АТП, УзК ")</f>
        <v xml:space="preserve">ту 14-1-205, НД, АТП, УзК </v>
      </c>
      <c r="G98" s="125">
        <f ca="1">IFERROR(__xludf.DUMMYFUNCTION("""COMPUTED_VALUE"""),0.895999999999999)</f>
        <v>0.89599999999999902</v>
      </c>
      <c r="H98" s="125"/>
      <c r="I98" s="131">
        <f ca="1">IFERROR(__xludf.DUMMYFUNCTION("""COMPUTED_VALUE"""),750000)</f>
        <v>750000</v>
      </c>
    </row>
    <row r="99" spans="2:9" ht="15.75" x14ac:dyDescent="0.25">
      <c r="B99" s="123" t="str">
        <f ca="1">IFERROR(__xludf.DUMMYFUNCTION("""COMPUTED_VALUE"""),"круг")</f>
        <v>круг</v>
      </c>
      <c r="C99" s="133" t="str">
        <f ca="1">IFERROR(__xludf.DUMMYFUNCTION("""COMPUTED_VALUE"""),"07Х16Н6 (ЭП288)")</f>
        <v>07Х16Н6 (ЭП288)</v>
      </c>
      <c r="D99" s="124">
        <f ca="1">IFERROR(__xludf.DUMMYFUNCTION("""COMPUTED_VALUE"""),65)</f>
        <v>65</v>
      </c>
      <c r="E99" s="124"/>
      <c r="F99" s="112" t="str">
        <f ca="1">IFERROR(__xludf.DUMMYFUNCTION("""COMPUTED_VALUE"""),"ту 14-1-205, НД, АТП, УзК")</f>
        <v>ту 14-1-205, НД, АТП, УзК</v>
      </c>
      <c r="G99" s="125">
        <f ca="1">IFERROR(__xludf.DUMMYFUNCTION("""COMPUTED_VALUE"""),3.2)</f>
        <v>3.2</v>
      </c>
      <c r="H99" s="125"/>
      <c r="I99" s="131">
        <f ca="1">IFERROR(__xludf.DUMMYFUNCTION("""COMPUTED_VALUE"""),580000)</f>
        <v>580000</v>
      </c>
    </row>
    <row r="100" spans="2:9" ht="15.75" x14ac:dyDescent="0.25">
      <c r="B100" s="123" t="str">
        <f ca="1">IFERROR(__xludf.DUMMYFUNCTION("""COMPUTED_VALUE"""),"круг")</f>
        <v>круг</v>
      </c>
      <c r="C100" s="133" t="str">
        <f ca="1">IFERROR(__xludf.DUMMYFUNCTION("""COMPUTED_VALUE"""),"07Х16Н6 (ЭП288)")</f>
        <v>07Х16Н6 (ЭП288)</v>
      </c>
      <c r="D100" s="124">
        <f ca="1">IFERROR(__xludf.DUMMYFUNCTION("""COMPUTED_VALUE"""),65)</f>
        <v>65</v>
      </c>
      <c r="E100" s="124"/>
      <c r="F100" s="112" t="str">
        <f ca="1">IFERROR(__xludf.DUMMYFUNCTION("""COMPUTED_VALUE"""),"ту 14-1-205, НД, АТП, УзК ")</f>
        <v xml:space="preserve">ту 14-1-205, НД, АТП, УзК </v>
      </c>
      <c r="G100" s="125">
        <f ca="1">IFERROR(__xludf.DUMMYFUNCTION("""COMPUTED_VALUE"""),1.412)</f>
        <v>1.4119999999999999</v>
      </c>
      <c r="H100" s="125"/>
      <c r="I100" s="131">
        <f ca="1">IFERROR(__xludf.DUMMYFUNCTION("""COMPUTED_VALUE"""),750000)</f>
        <v>750000</v>
      </c>
    </row>
    <row r="101" spans="2:9" ht="15.75" x14ac:dyDescent="0.25">
      <c r="B101" s="123" t="str">
        <f ca="1">IFERROR(__xludf.DUMMYFUNCTION("""COMPUTED_VALUE"""),"круг")</f>
        <v>круг</v>
      </c>
      <c r="C101" s="133" t="str">
        <f ca="1">IFERROR(__xludf.DUMMYFUNCTION("""COMPUTED_VALUE"""),"07Х16Н6 (ЭП288)")</f>
        <v>07Х16Н6 (ЭП288)</v>
      </c>
      <c r="D101" s="124">
        <f ca="1">IFERROR(__xludf.DUMMYFUNCTION("""COMPUTED_VALUE"""),70)</f>
        <v>70</v>
      </c>
      <c r="E101" s="124"/>
      <c r="F101" s="112" t="str">
        <f ca="1">IFERROR(__xludf.DUMMYFUNCTION("""COMPUTED_VALUE"""),"ту 14-1-205, НД, АТП, УзК")</f>
        <v>ту 14-1-205, НД, АТП, УзК</v>
      </c>
      <c r="G101" s="125">
        <f ca="1">IFERROR(__xludf.DUMMYFUNCTION("""COMPUTED_VALUE"""),3.2)</f>
        <v>3.2</v>
      </c>
      <c r="H101" s="125"/>
      <c r="I101" s="131">
        <f ca="1">IFERROR(__xludf.DUMMYFUNCTION("""COMPUTED_VALUE"""),580000)</f>
        <v>580000</v>
      </c>
    </row>
    <row r="102" spans="2:9" ht="15.75" x14ac:dyDescent="0.25">
      <c r="B102" s="123" t="str">
        <f ca="1">IFERROR(__xludf.DUMMYFUNCTION("""COMPUTED_VALUE"""),"круг")</f>
        <v>круг</v>
      </c>
      <c r="C102" s="133" t="str">
        <f ca="1">IFERROR(__xludf.DUMMYFUNCTION("""COMPUTED_VALUE"""),"07Х16Н6 (ЭП288)")</f>
        <v>07Х16Н6 (ЭП288)</v>
      </c>
      <c r="D102" s="124">
        <f ca="1">IFERROR(__xludf.DUMMYFUNCTION("""COMPUTED_VALUE"""),70)</f>
        <v>70</v>
      </c>
      <c r="E102" s="124"/>
      <c r="F102" s="112" t="str">
        <f ca="1">IFERROR(__xludf.DUMMYFUNCTION("""COMPUTED_VALUE"""),"ту 14-1-205, НД, АТП, УзК")</f>
        <v>ту 14-1-205, НД, АТП, УзК</v>
      </c>
      <c r="G102" s="125">
        <f ca="1">IFERROR(__xludf.DUMMYFUNCTION("""COMPUTED_VALUE"""),0.012)</f>
        <v>1.2E-2</v>
      </c>
      <c r="H102" s="125"/>
      <c r="I102" s="131">
        <f ca="1">IFERROR(__xludf.DUMMYFUNCTION("""COMPUTED_VALUE"""),750000)</f>
        <v>750000</v>
      </c>
    </row>
    <row r="103" spans="2:9" ht="15.75" x14ac:dyDescent="0.25">
      <c r="B103" s="123" t="str">
        <f ca="1">IFERROR(__xludf.DUMMYFUNCTION("""COMPUTED_VALUE"""),"круг")</f>
        <v>круг</v>
      </c>
      <c r="C103" s="133" t="str">
        <f ca="1">IFERROR(__xludf.DUMMYFUNCTION("""COMPUTED_VALUE"""),"07Х16Н6 (ЭП288)")</f>
        <v>07Х16Н6 (ЭП288)</v>
      </c>
      <c r="D103" s="124">
        <f ca="1">IFERROR(__xludf.DUMMYFUNCTION("""COMPUTED_VALUE"""),70)</f>
        <v>70</v>
      </c>
      <c r="E103" s="124"/>
      <c r="F103" s="112" t="str">
        <f ca="1">IFERROR(__xludf.DUMMYFUNCTION("""COMPUTED_VALUE"""),"ту 14-1-205, НД, АТП, УзК")</f>
        <v>ту 14-1-205, НД, АТП, УзК</v>
      </c>
      <c r="G103" s="125">
        <f ca="1">IFERROR(__xludf.DUMMYFUNCTION("""COMPUTED_VALUE"""),1.05799999999999)</f>
        <v>1.0579999999999901</v>
      </c>
      <c r="H103" s="125"/>
      <c r="I103" s="131">
        <f ca="1">IFERROR(__xludf.DUMMYFUNCTION("""COMPUTED_VALUE"""),750000)</f>
        <v>750000</v>
      </c>
    </row>
    <row r="104" spans="2:9" ht="15.75" x14ac:dyDescent="0.25">
      <c r="B104" s="123" t="str">
        <f ca="1">IFERROR(__xludf.DUMMYFUNCTION("""COMPUTED_VALUE"""),"круг")</f>
        <v>круг</v>
      </c>
      <c r="C104" s="133" t="str">
        <f ca="1">IFERROR(__xludf.DUMMYFUNCTION("""COMPUTED_VALUE"""),"07Х16Н6 (ЭП288)")</f>
        <v>07Х16Н6 (ЭП288)</v>
      </c>
      <c r="D104" s="124">
        <f ca="1">IFERROR(__xludf.DUMMYFUNCTION("""COMPUTED_VALUE"""),80)</f>
        <v>80</v>
      </c>
      <c r="E104" s="124"/>
      <c r="F104" s="112" t="str">
        <f ca="1">IFERROR(__xludf.DUMMYFUNCTION("""COMPUTED_VALUE"""),"ту 14-1-205, НД, АТП, УзК")</f>
        <v>ту 14-1-205, НД, АТП, УзК</v>
      </c>
      <c r="G104" s="125">
        <f ca="1">IFERROR(__xludf.DUMMYFUNCTION("""COMPUTED_VALUE"""),3.2)</f>
        <v>3.2</v>
      </c>
      <c r="H104" s="125"/>
      <c r="I104" s="131">
        <f ca="1">IFERROR(__xludf.DUMMYFUNCTION("""COMPUTED_VALUE"""),580000)</f>
        <v>580000</v>
      </c>
    </row>
    <row r="105" spans="2:9" ht="15.75" x14ac:dyDescent="0.25">
      <c r="B105" s="123" t="str">
        <f ca="1">IFERROR(__xludf.DUMMYFUNCTION("""COMPUTED_VALUE"""),"круг")</f>
        <v>круг</v>
      </c>
      <c r="C105" s="133" t="str">
        <f ca="1">IFERROR(__xludf.DUMMYFUNCTION("""COMPUTED_VALUE"""),"07Х16Н6 (ЭП288)")</f>
        <v>07Х16Н6 (ЭП288)</v>
      </c>
      <c r="D105" s="124">
        <f ca="1">IFERROR(__xludf.DUMMYFUNCTION("""COMPUTED_VALUE"""),80)</f>
        <v>80</v>
      </c>
      <c r="E105" s="124"/>
      <c r="F105" s="112" t="str">
        <f ca="1">IFERROR(__xludf.DUMMYFUNCTION("""COMPUTED_VALUE"""),"ту 14-1-205, НД, АТП, УзК")</f>
        <v>ту 14-1-205, НД, АТП, УзК</v>
      </c>
      <c r="G105" s="125">
        <f ca="1">IFERROR(__xludf.DUMMYFUNCTION("""COMPUTED_VALUE"""),0.201)</f>
        <v>0.20100000000000001</v>
      </c>
      <c r="H105" s="125"/>
      <c r="I105" s="131">
        <f ca="1">IFERROR(__xludf.DUMMYFUNCTION("""COMPUTED_VALUE"""),750000)</f>
        <v>750000</v>
      </c>
    </row>
    <row r="106" spans="2:9" ht="15.75" x14ac:dyDescent="0.25">
      <c r="B106" s="123" t="str">
        <f ca="1">IFERROR(__xludf.DUMMYFUNCTION("""COMPUTED_VALUE"""),"круг")</f>
        <v>круг</v>
      </c>
      <c r="C106" s="133" t="str">
        <f ca="1">IFERROR(__xludf.DUMMYFUNCTION("""COMPUTED_VALUE"""),"07Х16Н6 (ЭП288)")</f>
        <v>07Х16Н6 (ЭП288)</v>
      </c>
      <c r="D106" s="124">
        <f ca="1">IFERROR(__xludf.DUMMYFUNCTION("""COMPUTED_VALUE"""),90)</f>
        <v>90</v>
      </c>
      <c r="E106" s="124"/>
      <c r="F106" s="112" t="str">
        <f ca="1">IFERROR(__xludf.DUMMYFUNCTION("""COMPUTED_VALUE"""),"ту 14-1-205, НД, АТП, УзК")</f>
        <v>ту 14-1-205, НД, АТП, УзК</v>
      </c>
      <c r="G106" s="125">
        <f ca="1">IFERROR(__xludf.DUMMYFUNCTION("""COMPUTED_VALUE"""),1.506)</f>
        <v>1.506</v>
      </c>
      <c r="H106" s="125"/>
      <c r="I106" s="131">
        <f ca="1">IFERROR(__xludf.DUMMYFUNCTION("""COMPUTED_VALUE"""),750000)</f>
        <v>750000</v>
      </c>
    </row>
    <row r="107" spans="2:9" ht="15.75" x14ac:dyDescent="0.25">
      <c r="B107" s="123" t="str">
        <f ca="1">IFERROR(__xludf.DUMMYFUNCTION("""COMPUTED_VALUE"""),"круг")</f>
        <v>круг</v>
      </c>
      <c r="C107" s="133" t="str">
        <f ca="1">IFERROR(__xludf.DUMMYFUNCTION("""COMPUTED_VALUE"""),"07Х16Н6 (ЭП288)")</f>
        <v>07Х16Н6 (ЭП288)</v>
      </c>
      <c r="D107" s="124">
        <f ca="1">IFERROR(__xludf.DUMMYFUNCTION("""COMPUTED_VALUE"""),90)</f>
        <v>90</v>
      </c>
      <c r="E107" s="124"/>
      <c r="F107" s="112" t="str">
        <f ca="1">IFERROR(__xludf.DUMMYFUNCTION("""COMPUTED_VALUE"""),"ту 14-1-205, НД, АТП, УзК")</f>
        <v>ту 14-1-205, НД, АТП, УзК</v>
      </c>
      <c r="G107" s="125">
        <f ca="1">IFERROR(__xludf.DUMMYFUNCTION("""COMPUTED_VALUE"""),0.205)</f>
        <v>0.20499999999999999</v>
      </c>
      <c r="H107" s="125"/>
      <c r="I107" s="131">
        <f ca="1">IFERROR(__xludf.DUMMYFUNCTION("""COMPUTED_VALUE"""),750000)</f>
        <v>750000</v>
      </c>
    </row>
    <row r="108" spans="2:9" ht="15.75" x14ac:dyDescent="0.25">
      <c r="B108" s="123" t="str">
        <f ca="1">IFERROR(__xludf.DUMMYFUNCTION("""COMPUTED_VALUE"""),"круг")</f>
        <v>круг</v>
      </c>
      <c r="C108" s="133" t="str">
        <f ca="1">IFERROR(__xludf.DUMMYFUNCTION("""COMPUTED_VALUE"""),"07Х16Н6 (ЭП288)")</f>
        <v>07Х16Н6 (ЭП288)</v>
      </c>
      <c r="D108" s="124">
        <f ca="1">IFERROR(__xludf.DUMMYFUNCTION("""COMPUTED_VALUE"""),95)</f>
        <v>95</v>
      </c>
      <c r="E108" s="124"/>
      <c r="F108" s="112" t="str">
        <f ca="1">IFERROR(__xludf.DUMMYFUNCTION("""COMPUTED_VALUE"""),"ту 14-1-205, НД, АТП, УзК")</f>
        <v>ту 14-1-205, НД, АТП, УзК</v>
      </c>
      <c r="G108" s="125">
        <f ca="1">IFERROR(__xludf.DUMMYFUNCTION("""COMPUTED_VALUE"""),4.8)</f>
        <v>4.8</v>
      </c>
      <c r="H108" s="125"/>
      <c r="I108" s="131">
        <f ca="1">IFERROR(__xludf.DUMMYFUNCTION("""COMPUTED_VALUE"""),580000)</f>
        <v>580000</v>
      </c>
    </row>
    <row r="109" spans="2:9" ht="15.75" x14ac:dyDescent="0.25">
      <c r="B109" s="123" t="str">
        <f ca="1">IFERROR(__xludf.DUMMYFUNCTION("""COMPUTED_VALUE"""),"круг")</f>
        <v>круг</v>
      </c>
      <c r="C109" s="133" t="str">
        <f ca="1">IFERROR(__xludf.DUMMYFUNCTION("""COMPUTED_VALUE"""),"07Х16Н6 (ЭП288)")</f>
        <v>07Х16Н6 (ЭП288)</v>
      </c>
      <c r="D109" s="124">
        <f ca="1">IFERROR(__xludf.DUMMYFUNCTION("""COMPUTED_VALUE"""),100)</f>
        <v>100</v>
      </c>
      <c r="E109" s="124"/>
      <c r="F109" s="112" t="str">
        <f ca="1">IFERROR(__xludf.DUMMYFUNCTION("""COMPUTED_VALUE"""),"ту 14-1-205, НД, АТП, УзК")</f>
        <v>ту 14-1-205, НД, АТП, УзК</v>
      </c>
      <c r="G109" s="125">
        <f ca="1">IFERROR(__xludf.DUMMYFUNCTION("""COMPUTED_VALUE"""),0.0139999999999997)</f>
        <v>1.39999999999997E-2</v>
      </c>
      <c r="H109" s="125"/>
      <c r="I109" s="131">
        <f ca="1">IFERROR(__xludf.DUMMYFUNCTION("""COMPUTED_VALUE"""),750000)</f>
        <v>750000</v>
      </c>
    </row>
    <row r="110" spans="2:9" ht="15.75" x14ac:dyDescent="0.25">
      <c r="B110" s="123" t="str">
        <f ca="1">IFERROR(__xludf.DUMMYFUNCTION("""COMPUTED_VALUE"""),"круг")</f>
        <v>круг</v>
      </c>
      <c r="C110" s="133" t="str">
        <f ca="1">IFERROR(__xludf.DUMMYFUNCTION("""COMPUTED_VALUE"""),"07Х16Н6 (ЭП288)")</f>
        <v>07Х16Н6 (ЭП288)</v>
      </c>
      <c r="D110" s="124">
        <f ca="1">IFERROR(__xludf.DUMMYFUNCTION("""COMPUTED_VALUE"""),100)</f>
        <v>100</v>
      </c>
      <c r="E110" s="124"/>
      <c r="F110" s="112" t="str">
        <f ca="1">IFERROR(__xludf.DUMMYFUNCTION("""COMPUTED_VALUE"""),"ту 14-1-205, НД, АТП, УзК")</f>
        <v>ту 14-1-205, НД, АТП, УзК</v>
      </c>
      <c r="G110" s="125">
        <f ca="1">IFERROR(__xludf.DUMMYFUNCTION("""COMPUTED_VALUE"""),2.014)</f>
        <v>2.0139999999999998</v>
      </c>
      <c r="H110" s="125"/>
      <c r="I110" s="131">
        <f ca="1">IFERROR(__xludf.DUMMYFUNCTION("""COMPUTED_VALUE"""),760000)</f>
        <v>760000</v>
      </c>
    </row>
    <row r="111" spans="2:9" ht="15.75" x14ac:dyDescent="0.25">
      <c r="B111" s="123" t="str">
        <f ca="1">IFERROR(__xludf.DUMMYFUNCTION("""COMPUTED_VALUE"""),"круг")</f>
        <v>круг</v>
      </c>
      <c r="C111" s="133" t="str">
        <f ca="1">IFERROR(__xludf.DUMMYFUNCTION("""COMPUTED_VALUE"""),"07Х16Н6 (ЭП288)")</f>
        <v>07Х16Н6 (ЭП288)</v>
      </c>
      <c r="D111" s="124">
        <f ca="1">IFERROR(__xludf.DUMMYFUNCTION("""COMPUTED_VALUE"""),110)</f>
        <v>110</v>
      </c>
      <c r="E111" s="124"/>
      <c r="F111" s="112" t="str">
        <f ca="1">IFERROR(__xludf.DUMMYFUNCTION("""COMPUTED_VALUE"""),"ту 14-1-205, НД, АТП, УзК")</f>
        <v>ту 14-1-205, НД, АТП, УзК</v>
      </c>
      <c r="G111" s="125">
        <f ca="1">IFERROR(__xludf.DUMMYFUNCTION("""COMPUTED_VALUE"""),0.98)</f>
        <v>0.98</v>
      </c>
      <c r="H111" s="125"/>
      <c r="I111" s="131">
        <f ca="1">IFERROR(__xludf.DUMMYFUNCTION("""COMPUTED_VALUE"""),750000)</f>
        <v>750000</v>
      </c>
    </row>
    <row r="112" spans="2:9" ht="15.75" x14ac:dyDescent="0.25">
      <c r="B112" s="123" t="str">
        <f ca="1">IFERROR(__xludf.DUMMYFUNCTION("""COMPUTED_VALUE"""),"круг")</f>
        <v>круг</v>
      </c>
      <c r="C112" s="133" t="str">
        <f ca="1">IFERROR(__xludf.DUMMYFUNCTION("""COMPUTED_VALUE"""),"07Х16Н6 (ЭП288)")</f>
        <v>07Х16Н6 (ЭП288)</v>
      </c>
      <c r="D112" s="124">
        <f ca="1">IFERROR(__xludf.DUMMYFUNCTION("""COMPUTED_VALUE"""),110)</f>
        <v>110</v>
      </c>
      <c r="E112" s="124"/>
      <c r="F112" s="112" t="str">
        <f ca="1">IFERROR(__xludf.DUMMYFUNCTION("""COMPUTED_VALUE"""),"ту 14-1-205, НД, АТП, УзК")</f>
        <v>ту 14-1-205, НД, АТП, УзК</v>
      </c>
      <c r="G112" s="125">
        <f ca="1">IFERROR(__xludf.DUMMYFUNCTION("""COMPUTED_VALUE"""),1.515)</f>
        <v>1.5149999999999999</v>
      </c>
      <c r="H112" s="125"/>
      <c r="I112" s="131">
        <f ca="1">IFERROR(__xludf.DUMMYFUNCTION("""COMPUTED_VALUE"""),750000)</f>
        <v>750000</v>
      </c>
    </row>
    <row r="113" spans="2:9" ht="15.75" x14ac:dyDescent="0.25">
      <c r="B113" s="123" t="str">
        <f ca="1">IFERROR(__xludf.DUMMYFUNCTION("""COMPUTED_VALUE"""),"круг")</f>
        <v>круг</v>
      </c>
      <c r="C113" s="133" t="str">
        <f ca="1">IFERROR(__xludf.DUMMYFUNCTION("""COMPUTED_VALUE"""),"07Х16Н6 (ЭП288)")</f>
        <v>07Х16Н6 (ЭП288)</v>
      </c>
      <c r="D113" s="124">
        <f ca="1">IFERROR(__xludf.DUMMYFUNCTION("""COMPUTED_VALUE"""),120)</f>
        <v>120</v>
      </c>
      <c r="E113" s="124"/>
      <c r="F113" s="112" t="str">
        <f ca="1">IFERROR(__xludf.DUMMYFUNCTION("""COMPUTED_VALUE"""),"ту 14-1-205, НД, АТП, УзК")</f>
        <v>ту 14-1-205, НД, АТП, УзК</v>
      </c>
      <c r="G113" s="125">
        <f ca="1">IFERROR(__xludf.DUMMYFUNCTION("""COMPUTED_VALUE"""),0.154)</f>
        <v>0.154</v>
      </c>
      <c r="H113" s="125"/>
      <c r="I113" s="131">
        <f ca="1">IFERROR(__xludf.DUMMYFUNCTION("""COMPUTED_VALUE"""),750000)</f>
        <v>750000</v>
      </c>
    </row>
    <row r="114" spans="2:9" ht="15.75" x14ac:dyDescent="0.25">
      <c r="B114" s="123" t="str">
        <f ca="1">IFERROR(__xludf.DUMMYFUNCTION("""COMPUTED_VALUE"""),"круг")</f>
        <v>круг</v>
      </c>
      <c r="C114" s="133" t="str">
        <f ca="1">IFERROR(__xludf.DUMMYFUNCTION("""COMPUTED_VALUE"""),"07Х16Н6 (ЭП288)")</f>
        <v>07Х16Н6 (ЭП288)</v>
      </c>
      <c r="D114" s="124">
        <f ca="1">IFERROR(__xludf.DUMMYFUNCTION("""COMPUTED_VALUE"""),120)</f>
        <v>120</v>
      </c>
      <c r="E114" s="124"/>
      <c r="F114" s="112" t="str">
        <f ca="1">IFERROR(__xludf.DUMMYFUNCTION("""COMPUTED_VALUE"""),"ту 14-1-205, НД, АТП, УзК")</f>
        <v>ту 14-1-205, НД, АТП, УзК</v>
      </c>
      <c r="G114" s="125">
        <f ca="1">IFERROR(__xludf.DUMMYFUNCTION("""COMPUTED_VALUE"""),0.875)</f>
        <v>0.875</v>
      </c>
      <c r="H114" s="125"/>
      <c r="I114" s="131">
        <f ca="1">IFERROR(__xludf.DUMMYFUNCTION("""COMPUTED_VALUE"""),750000)</f>
        <v>750000</v>
      </c>
    </row>
    <row r="115" spans="2:9" ht="15.75" x14ac:dyDescent="0.25">
      <c r="B115" s="123" t="str">
        <f ca="1">IFERROR(__xludf.DUMMYFUNCTION("""COMPUTED_VALUE"""),"круг")</f>
        <v>круг</v>
      </c>
      <c r="C115" s="133" t="str">
        <f ca="1">IFERROR(__xludf.DUMMYFUNCTION("""COMPUTED_VALUE"""),"07Х16Н6 (ЭП288)")</f>
        <v>07Х16Н6 (ЭП288)</v>
      </c>
      <c r="D115" s="124">
        <f ca="1">IFERROR(__xludf.DUMMYFUNCTION("""COMPUTED_VALUE"""),120)</f>
        <v>120</v>
      </c>
      <c r="E115" s="124"/>
      <c r="F115" s="112" t="str">
        <f ca="1">IFERROR(__xludf.DUMMYFUNCTION("""COMPUTED_VALUE"""),"ту 14-1-205, НД, АТП, УзК")</f>
        <v>ту 14-1-205, НД, АТП, УзК</v>
      </c>
      <c r="G115" s="125">
        <f ca="1">IFERROR(__xludf.DUMMYFUNCTION("""COMPUTED_VALUE"""),0.425)</f>
        <v>0.42499999999999999</v>
      </c>
      <c r="H115" s="125"/>
      <c r="I115" s="131">
        <f ca="1">IFERROR(__xludf.DUMMYFUNCTION("""COMPUTED_VALUE"""),750000)</f>
        <v>750000</v>
      </c>
    </row>
    <row r="116" spans="2:9" ht="15.75" x14ac:dyDescent="0.25">
      <c r="B116" s="123" t="str">
        <f ca="1">IFERROR(__xludf.DUMMYFUNCTION("""COMPUTED_VALUE"""),"круг")</f>
        <v>круг</v>
      </c>
      <c r="C116" s="133" t="str">
        <f ca="1">IFERROR(__xludf.DUMMYFUNCTION("""COMPUTED_VALUE"""),"07Х16Н6 (ЭП288)")</f>
        <v>07Х16Н6 (ЭП288)</v>
      </c>
      <c r="D116" s="124">
        <f ca="1">IFERROR(__xludf.DUMMYFUNCTION("""COMPUTED_VALUE"""),120)</f>
        <v>120</v>
      </c>
      <c r="E116" s="124"/>
      <c r="F116" s="112" t="str">
        <f ca="1">IFERROR(__xludf.DUMMYFUNCTION("""COMPUTED_VALUE"""),"ту 14-1-205, НД, АТП, УзК")</f>
        <v>ту 14-1-205, НД, АТП, УзК</v>
      </c>
      <c r="G116" s="125">
        <f ca="1">IFERROR(__xludf.DUMMYFUNCTION("""COMPUTED_VALUE"""),0.45)</f>
        <v>0.45</v>
      </c>
      <c r="H116" s="125"/>
      <c r="I116" s="131">
        <f ca="1">IFERROR(__xludf.DUMMYFUNCTION("""COMPUTED_VALUE"""),750000)</f>
        <v>750000</v>
      </c>
    </row>
    <row r="117" spans="2:9" ht="15.75" x14ac:dyDescent="0.25">
      <c r="B117" s="123" t="str">
        <f ca="1">IFERROR(__xludf.DUMMYFUNCTION("""COMPUTED_VALUE"""),"круг")</f>
        <v>круг</v>
      </c>
      <c r="C117" s="133" t="str">
        <f ca="1">IFERROR(__xludf.DUMMYFUNCTION("""COMPUTED_VALUE"""),"07Х16Н6 (ЭП288)")</f>
        <v>07Х16Н6 (ЭП288)</v>
      </c>
      <c r="D117" s="124">
        <f ca="1">IFERROR(__xludf.DUMMYFUNCTION("""COMPUTED_VALUE"""),125)</f>
        <v>125</v>
      </c>
      <c r="E117" s="124"/>
      <c r="F117" s="112" t="str">
        <f ca="1">IFERROR(__xludf.DUMMYFUNCTION("""COMPUTED_VALUE"""),"ту 14-1-205, НД, АТП, УзК")</f>
        <v>ту 14-1-205, НД, АТП, УзК</v>
      </c>
      <c r="G117" s="125">
        <f ca="1">IFERROR(__xludf.DUMMYFUNCTION("""COMPUTED_VALUE"""),1.572)</f>
        <v>1.5720000000000001</v>
      </c>
      <c r="H117" s="125"/>
      <c r="I117" s="131">
        <f ca="1">IFERROR(__xludf.DUMMYFUNCTION("""COMPUTED_VALUE"""),600000)</f>
        <v>600000</v>
      </c>
    </row>
    <row r="118" spans="2:9" ht="15.75" x14ac:dyDescent="0.25">
      <c r="B118" s="123" t="str">
        <f ca="1">IFERROR(__xludf.DUMMYFUNCTION("""COMPUTED_VALUE"""),"круг")</f>
        <v>круг</v>
      </c>
      <c r="C118" s="133" t="str">
        <f ca="1">IFERROR(__xludf.DUMMYFUNCTION("""COMPUTED_VALUE"""),"07Х16Н6 (ЭП288)")</f>
        <v>07Х16Н6 (ЭП288)</v>
      </c>
      <c r="D118" s="124">
        <f ca="1">IFERROR(__xludf.DUMMYFUNCTION("""COMPUTED_VALUE"""),125)</f>
        <v>125</v>
      </c>
      <c r="E118" s="124"/>
      <c r="F118" s="112" t="str">
        <f ca="1">IFERROR(__xludf.DUMMYFUNCTION("""COMPUTED_VALUE"""),"ту 14-1-205, НД, АТП, УзК")</f>
        <v>ту 14-1-205, НД, АТП, УзК</v>
      </c>
      <c r="G118" s="125">
        <f ca="1">IFERROR(__xludf.DUMMYFUNCTION("""COMPUTED_VALUE"""),2.374)</f>
        <v>2.3740000000000001</v>
      </c>
      <c r="H118" s="125"/>
      <c r="I118" s="131">
        <f ca="1">IFERROR(__xludf.DUMMYFUNCTION("""COMPUTED_VALUE"""),600000)</f>
        <v>600000</v>
      </c>
    </row>
    <row r="119" spans="2:9" ht="15.75" x14ac:dyDescent="0.25">
      <c r="B119" s="123" t="str">
        <f ca="1">IFERROR(__xludf.DUMMYFUNCTION("""COMPUTED_VALUE"""),"круг")</f>
        <v>круг</v>
      </c>
      <c r="C119" s="133" t="str">
        <f ca="1">IFERROR(__xludf.DUMMYFUNCTION("""COMPUTED_VALUE"""),"07Х16Н6 (ЭП288)")</f>
        <v>07Х16Н6 (ЭП288)</v>
      </c>
      <c r="D119" s="124">
        <f ca="1">IFERROR(__xludf.DUMMYFUNCTION("""COMPUTED_VALUE"""),130)</f>
        <v>130</v>
      </c>
      <c r="E119" s="124"/>
      <c r="F119" s="112" t="str">
        <f ca="1">IFERROR(__xludf.DUMMYFUNCTION("""COMPUTED_VALUE"""),"ту 14-1-205, НД, АТП, УзК")</f>
        <v>ту 14-1-205, НД, АТП, УзК</v>
      </c>
      <c r="G119" s="125">
        <f ca="1">IFERROR(__xludf.DUMMYFUNCTION("""COMPUTED_VALUE"""),2.3)</f>
        <v>2.2999999999999998</v>
      </c>
      <c r="H119" s="125"/>
      <c r="I119" s="131">
        <f ca="1">IFERROR(__xludf.DUMMYFUNCTION("""COMPUTED_VALUE"""),580000)</f>
        <v>580000</v>
      </c>
    </row>
    <row r="120" spans="2:9" ht="15.75" x14ac:dyDescent="0.25">
      <c r="B120" s="123" t="str">
        <f ca="1">IFERROR(__xludf.DUMMYFUNCTION("""COMPUTED_VALUE"""),"круг")</f>
        <v>круг</v>
      </c>
      <c r="C120" s="133" t="str">
        <f ca="1">IFERROR(__xludf.DUMMYFUNCTION("""COMPUTED_VALUE"""),"07Х16Н6 (ЭП288)")</f>
        <v>07Х16Н6 (ЭП288)</v>
      </c>
      <c r="D120" s="124">
        <f ca="1">IFERROR(__xludf.DUMMYFUNCTION("""COMPUTED_VALUE"""),140)</f>
        <v>140</v>
      </c>
      <c r="E120" s="124"/>
      <c r="F120" s="112" t="str">
        <f ca="1">IFERROR(__xludf.DUMMYFUNCTION("""COMPUTED_VALUE"""),"ту 14-1-205, НД, АТП, УзК")</f>
        <v>ту 14-1-205, НД, АТП, УзК</v>
      </c>
      <c r="G120" s="125">
        <f ca="1">IFERROR(__xludf.DUMMYFUNCTION("""COMPUTED_VALUE"""),2.378)</f>
        <v>2.3780000000000001</v>
      </c>
      <c r="H120" s="125"/>
      <c r="I120" s="131">
        <f ca="1">IFERROR(__xludf.DUMMYFUNCTION("""COMPUTED_VALUE"""),750000)</f>
        <v>750000</v>
      </c>
    </row>
    <row r="121" spans="2:9" ht="15.75" x14ac:dyDescent="0.25">
      <c r="B121" s="123" t="str">
        <f ca="1">IFERROR(__xludf.DUMMYFUNCTION("""COMPUTED_VALUE"""),"круг")</f>
        <v>круг</v>
      </c>
      <c r="C121" s="133" t="str">
        <f ca="1">IFERROR(__xludf.DUMMYFUNCTION("""COMPUTED_VALUE"""),"07Х16Н6 (ЭП288)")</f>
        <v>07Х16Н6 (ЭП288)</v>
      </c>
      <c r="D121" s="124">
        <f ca="1">IFERROR(__xludf.DUMMYFUNCTION("""COMPUTED_VALUE"""),150)</f>
        <v>150</v>
      </c>
      <c r="E121" s="124"/>
      <c r="F121" s="112" t="str">
        <f ca="1">IFERROR(__xludf.DUMMYFUNCTION("""COMPUTED_VALUE"""),"ту 14-1-205, НД, АТП, УзК")</f>
        <v>ту 14-1-205, НД, АТП, УзК</v>
      </c>
      <c r="G121" s="125">
        <f ca="1">IFERROR(__xludf.DUMMYFUNCTION("""COMPUTED_VALUE"""),0.575)</f>
        <v>0.57499999999999996</v>
      </c>
      <c r="H121" s="125"/>
      <c r="I121" s="131">
        <f ca="1">IFERROR(__xludf.DUMMYFUNCTION("""COMPUTED_VALUE"""),750000)</f>
        <v>750000</v>
      </c>
    </row>
    <row r="122" spans="2:9" ht="15.75" x14ac:dyDescent="0.25">
      <c r="B122" s="123" t="str">
        <f ca="1">IFERROR(__xludf.DUMMYFUNCTION("""COMPUTED_VALUE"""),"круг")</f>
        <v>круг</v>
      </c>
      <c r="C122" s="133" t="str">
        <f ca="1">IFERROR(__xludf.DUMMYFUNCTION("""COMPUTED_VALUE"""),"07Х16Н6 (ЭП288)")</f>
        <v>07Х16Н6 (ЭП288)</v>
      </c>
      <c r="D122" s="124">
        <f ca="1">IFERROR(__xludf.DUMMYFUNCTION("""COMPUTED_VALUE"""),150)</f>
        <v>150</v>
      </c>
      <c r="E122" s="124"/>
      <c r="F122" s="112" t="str">
        <f ca="1">IFERROR(__xludf.DUMMYFUNCTION("""COMPUTED_VALUE"""),"ту 14-1-205, НД, АТП, УзК")</f>
        <v>ту 14-1-205, НД, АТП, УзК</v>
      </c>
      <c r="G122" s="125">
        <f ca="1">IFERROR(__xludf.DUMMYFUNCTION("""COMPUTED_VALUE"""),1.12)</f>
        <v>1.1200000000000001</v>
      </c>
      <c r="H122" s="125"/>
      <c r="I122" s="131">
        <f ca="1">IFERROR(__xludf.DUMMYFUNCTION("""COMPUTED_VALUE"""),600000)</f>
        <v>600000</v>
      </c>
    </row>
    <row r="123" spans="2:9" ht="15.75" x14ac:dyDescent="0.25">
      <c r="B123" s="123" t="str">
        <f ca="1">IFERROR(__xludf.DUMMYFUNCTION("""COMPUTED_VALUE"""),"круг")</f>
        <v>круг</v>
      </c>
      <c r="C123" s="133" t="str">
        <f ca="1">IFERROR(__xludf.DUMMYFUNCTION("""COMPUTED_VALUE"""),"07Х16Н6 (ЭП288)")</f>
        <v>07Х16Н6 (ЭП288)</v>
      </c>
      <c r="D123" s="124">
        <f ca="1">IFERROR(__xludf.DUMMYFUNCTION("""COMPUTED_VALUE"""),160)</f>
        <v>160</v>
      </c>
      <c r="E123" s="124"/>
      <c r="F123" s="112" t="str">
        <f ca="1">IFERROR(__xludf.DUMMYFUNCTION("""COMPUTED_VALUE"""),"ту 14-1-205, НД, АТП, УзК")</f>
        <v>ту 14-1-205, НД, АТП, УзК</v>
      </c>
      <c r="G123" s="125">
        <f ca="1">IFERROR(__xludf.DUMMYFUNCTION("""COMPUTED_VALUE"""),2.38199999999999)</f>
        <v>2.3819999999999899</v>
      </c>
      <c r="H123" s="125"/>
      <c r="I123" s="131">
        <f ca="1">IFERROR(__xludf.DUMMYFUNCTION("""COMPUTED_VALUE"""),760000)</f>
        <v>760000</v>
      </c>
    </row>
    <row r="124" spans="2:9" ht="15.75" x14ac:dyDescent="0.25">
      <c r="B124" s="123" t="str">
        <f ca="1">IFERROR(__xludf.DUMMYFUNCTION("""COMPUTED_VALUE"""),"круг")</f>
        <v>круг</v>
      </c>
      <c r="C124" s="133" t="str">
        <f ca="1">IFERROR(__xludf.DUMMYFUNCTION("""COMPUTED_VALUE"""),"07Х16Н6 (ЭП288)")</f>
        <v>07Х16Н6 (ЭП288)</v>
      </c>
      <c r="D124" s="124">
        <f ca="1">IFERROR(__xludf.DUMMYFUNCTION("""COMPUTED_VALUE"""),170)</f>
        <v>170</v>
      </c>
      <c r="E124" s="124"/>
      <c r="F124" s="112" t="str">
        <f ca="1">IFERROR(__xludf.DUMMYFUNCTION("""COMPUTED_VALUE"""),"ту 14-1-205, НД, АТП, УзК")</f>
        <v>ту 14-1-205, НД, АТП, УзК</v>
      </c>
      <c r="G124" s="125">
        <f ca="1">IFERROR(__xludf.DUMMYFUNCTION("""COMPUTED_VALUE"""),0.359)</f>
        <v>0.35899999999999999</v>
      </c>
      <c r="H124" s="125"/>
      <c r="I124" s="131">
        <f ca="1">IFERROR(__xludf.DUMMYFUNCTION("""COMPUTED_VALUE"""),750000)</f>
        <v>750000</v>
      </c>
    </row>
    <row r="125" spans="2:9" ht="15.75" x14ac:dyDescent="0.25">
      <c r="B125" s="123" t="str">
        <f ca="1">IFERROR(__xludf.DUMMYFUNCTION("""COMPUTED_VALUE"""),"круг")</f>
        <v>круг</v>
      </c>
      <c r="C125" s="133" t="str">
        <f ca="1">IFERROR(__xludf.DUMMYFUNCTION("""COMPUTED_VALUE"""),"07Х16Н6 (ЭП288)")</f>
        <v>07Х16Н6 (ЭП288)</v>
      </c>
      <c r="D125" s="124">
        <f ca="1">IFERROR(__xludf.DUMMYFUNCTION("""COMPUTED_VALUE"""),170)</f>
        <v>170</v>
      </c>
      <c r="E125" s="124"/>
      <c r="F125" s="112" t="str">
        <f ca="1">IFERROR(__xludf.DUMMYFUNCTION("""COMPUTED_VALUE"""),"ту 14-1-205, НД, АТП, УзК")</f>
        <v>ту 14-1-205, НД, АТП, УзК</v>
      </c>
      <c r="G125" s="125">
        <f ca="1">IFERROR(__xludf.DUMMYFUNCTION("""COMPUTED_VALUE"""),0.885)</f>
        <v>0.88500000000000001</v>
      </c>
      <c r="H125" s="125"/>
      <c r="I125" s="131">
        <f ca="1">IFERROR(__xludf.DUMMYFUNCTION("""COMPUTED_VALUE"""),750000)</f>
        <v>750000</v>
      </c>
    </row>
    <row r="126" spans="2:9" ht="15.75" x14ac:dyDescent="0.25">
      <c r="B126" s="123" t="str">
        <f ca="1">IFERROR(__xludf.DUMMYFUNCTION("""COMPUTED_VALUE"""),"круг")</f>
        <v>круг</v>
      </c>
      <c r="C126" s="133" t="str">
        <f ca="1">IFERROR(__xludf.DUMMYFUNCTION("""COMPUTED_VALUE"""),"07Х16Н6 (ЭП288)")</f>
        <v>07Х16Н6 (ЭП288)</v>
      </c>
      <c r="D126" s="124">
        <f ca="1">IFERROR(__xludf.DUMMYFUNCTION("""COMPUTED_VALUE"""),180)</f>
        <v>180</v>
      </c>
      <c r="E126" s="124"/>
      <c r="F126" s="112" t="str">
        <f ca="1">IFERROR(__xludf.DUMMYFUNCTION("""COMPUTED_VALUE"""),"ту 14-1-205, НД, АТП, УзК")</f>
        <v>ту 14-1-205, НД, АТП, УзК</v>
      </c>
      <c r="G126" s="125">
        <f ca="1">IFERROR(__xludf.DUMMYFUNCTION("""COMPUTED_VALUE"""),1.334)</f>
        <v>1.3340000000000001</v>
      </c>
      <c r="H126" s="125"/>
      <c r="I126" s="131">
        <f ca="1">IFERROR(__xludf.DUMMYFUNCTION("""COMPUTED_VALUE"""),750000)</f>
        <v>750000</v>
      </c>
    </row>
    <row r="127" spans="2:9" ht="15.75" x14ac:dyDescent="0.25">
      <c r="B127" s="123" t="str">
        <f ca="1">IFERROR(__xludf.DUMMYFUNCTION("""COMPUTED_VALUE"""),"круг")</f>
        <v>круг</v>
      </c>
      <c r="C127" s="133" t="str">
        <f ca="1">IFERROR(__xludf.DUMMYFUNCTION("""COMPUTED_VALUE"""),"07Х16Н6 (ЭП288)")</f>
        <v>07Х16Н6 (ЭП288)</v>
      </c>
      <c r="D127" s="124">
        <f ca="1">IFERROR(__xludf.DUMMYFUNCTION("""COMPUTED_VALUE"""),190)</f>
        <v>190</v>
      </c>
      <c r="E127" s="124"/>
      <c r="F127" s="112" t="str">
        <f ca="1">IFERROR(__xludf.DUMMYFUNCTION("""COMPUTED_VALUE"""),"ту 14-1-205, НД, АТП, УзК")</f>
        <v>ту 14-1-205, НД, АТП, УзК</v>
      </c>
      <c r="G127" s="125">
        <f ca="1">IFERROR(__xludf.DUMMYFUNCTION("""COMPUTED_VALUE"""),0.165)</f>
        <v>0.16500000000000001</v>
      </c>
      <c r="H127" s="125"/>
      <c r="I127" s="131">
        <f ca="1">IFERROR(__xludf.DUMMYFUNCTION("""COMPUTED_VALUE"""),750000)</f>
        <v>750000</v>
      </c>
    </row>
    <row r="128" spans="2:9" ht="15.75" x14ac:dyDescent="0.25">
      <c r="B128" s="123" t="str">
        <f ca="1">IFERROR(__xludf.DUMMYFUNCTION("""COMPUTED_VALUE"""),"круг")</f>
        <v>круг</v>
      </c>
      <c r="C128" s="133" t="str">
        <f ca="1">IFERROR(__xludf.DUMMYFUNCTION("""COMPUTED_VALUE"""),"07Х16Н6 (ЭП288)")</f>
        <v>07Х16Н6 (ЭП288)</v>
      </c>
      <c r="D128" s="124">
        <f ca="1">IFERROR(__xludf.DUMMYFUNCTION("""COMPUTED_VALUE"""),190)</f>
        <v>190</v>
      </c>
      <c r="E128" s="124"/>
      <c r="F128" s="112" t="str">
        <f ca="1">IFERROR(__xludf.DUMMYFUNCTION("""COMPUTED_VALUE"""),"ту 14-1-205, НД, АТП, УзК")</f>
        <v>ту 14-1-205, НД, АТП, УзК</v>
      </c>
      <c r="G128" s="125">
        <f ca="1">IFERROR(__xludf.DUMMYFUNCTION("""COMPUTED_VALUE"""),0.9)</f>
        <v>0.9</v>
      </c>
      <c r="H128" s="125"/>
      <c r="I128" s="131">
        <f ca="1">IFERROR(__xludf.DUMMYFUNCTION("""COMPUTED_VALUE"""),760000)</f>
        <v>760000</v>
      </c>
    </row>
    <row r="129" spans="2:9" ht="15.75" x14ac:dyDescent="0.25">
      <c r="B129" s="123" t="str">
        <f ca="1">IFERROR(__xludf.DUMMYFUNCTION("""COMPUTED_VALUE"""),"круг")</f>
        <v>круг</v>
      </c>
      <c r="C129" s="133" t="str">
        <f ca="1">IFERROR(__xludf.DUMMYFUNCTION("""COMPUTED_VALUE"""),"07Х16Н6 (ЭП288)")</f>
        <v>07Х16Н6 (ЭП288)</v>
      </c>
      <c r="D129" s="124">
        <f ca="1">IFERROR(__xludf.DUMMYFUNCTION("""COMPUTED_VALUE"""),200)</f>
        <v>200</v>
      </c>
      <c r="E129" s="124"/>
      <c r="F129" s="112" t="str">
        <f ca="1">IFERROR(__xludf.DUMMYFUNCTION("""COMPUTED_VALUE"""),"ту 14-1-205, НД, АТП, УзК")</f>
        <v>ту 14-1-205, НД, АТП, УзК</v>
      </c>
      <c r="G129" s="125">
        <f ca="1">IFERROR(__xludf.DUMMYFUNCTION("""COMPUTED_VALUE"""),1.999)</f>
        <v>1.9990000000000001</v>
      </c>
      <c r="H129" s="125"/>
      <c r="I129" s="131">
        <f ca="1">IFERROR(__xludf.DUMMYFUNCTION("""COMPUTED_VALUE"""),750000)</f>
        <v>750000</v>
      </c>
    </row>
    <row r="130" spans="2:9" ht="15.75" x14ac:dyDescent="0.25">
      <c r="B130" s="123" t="str">
        <f ca="1">IFERROR(__xludf.DUMMYFUNCTION("""COMPUTED_VALUE"""),"круг")</f>
        <v>круг</v>
      </c>
      <c r="C130" s="133" t="str">
        <f ca="1">IFERROR(__xludf.DUMMYFUNCTION("""COMPUTED_VALUE"""),"07Х16Н6 (ЭП288)")</f>
        <v>07Х16Н6 (ЭП288)</v>
      </c>
      <c r="D130" s="124">
        <f ca="1">IFERROR(__xludf.DUMMYFUNCTION("""COMPUTED_VALUE"""),220)</f>
        <v>220</v>
      </c>
      <c r="E130" s="124"/>
      <c r="F130" s="112" t="str">
        <f ca="1">IFERROR(__xludf.DUMMYFUNCTION("""COMPUTED_VALUE"""),"ту 14-1-205, НД, АТП, УзК, кован")</f>
        <v>ту 14-1-205, НД, АТП, УзК, кован</v>
      </c>
      <c r="G130" s="125">
        <f ca="1">IFERROR(__xludf.DUMMYFUNCTION("""COMPUTED_VALUE"""),1.5)</f>
        <v>1.5</v>
      </c>
      <c r="H130" s="125"/>
      <c r="I130" s="131">
        <f ca="1">IFERROR(__xludf.DUMMYFUNCTION("""COMPUTED_VALUE"""),900000)</f>
        <v>900000</v>
      </c>
    </row>
    <row r="131" spans="2:9" ht="15.75" x14ac:dyDescent="0.25">
      <c r="B131" s="123" t="str">
        <f ca="1">IFERROR(__xludf.DUMMYFUNCTION("""COMPUTED_VALUE"""),"круг")</f>
        <v>круг</v>
      </c>
      <c r="C131" s="133" t="str">
        <f ca="1">IFERROR(__xludf.DUMMYFUNCTION("""COMPUTED_VALUE"""),"07Х16Н6 (ЭП288)")</f>
        <v>07Х16Н6 (ЭП288)</v>
      </c>
      <c r="D131" s="124">
        <f ca="1">IFERROR(__xludf.DUMMYFUNCTION("""COMPUTED_VALUE"""),250)</f>
        <v>250</v>
      </c>
      <c r="E131" s="124"/>
      <c r="F131" s="112" t="str">
        <f ca="1">IFERROR(__xludf.DUMMYFUNCTION("""COMPUTED_VALUE"""),"ту 14-1-205, НД, АТП, УзК, кован")</f>
        <v>ту 14-1-205, НД, АТП, УзК, кован</v>
      </c>
      <c r="G131" s="125">
        <f ca="1">IFERROR(__xludf.DUMMYFUNCTION("""COMPUTED_VALUE"""),1.5)</f>
        <v>1.5</v>
      </c>
      <c r="H131" s="125"/>
      <c r="I131" s="131">
        <f ca="1">IFERROR(__xludf.DUMMYFUNCTION("""COMPUTED_VALUE"""),900000)</f>
        <v>900000</v>
      </c>
    </row>
    <row r="132" spans="2:9" ht="15.75" x14ac:dyDescent="0.25">
      <c r="B132" s="123" t="str">
        <f ca="1">IFERROR(__xludf.DUMMYFUNCTION("""COMPUTED_VALUE"""),"круг")</f>
        <v>круг</v>
      </c>
      <c r="C132" s="133" t="str">
        <f ca="1">IFERROR(__xludf.DUMMYFUNCTION("""COMPUTED_VALUE"""),"07Х16Н6 (ЭП288)")</f>
        <v>07Х16Н6 (ЭП288)</v>
      </c>
      <c r="D132" s="124">
        <f ca="1">IFERROR(__xludf.DUMMYFUNCTION("""COMPUTED_VALUE"""),280)</f>
        <v>280</v>
      </c>
      <c r="E132" s="124"/>
      <c r="F132" s="112" t="str">
        <f ca="1">IFERROR(__xludf.DUMMYFUNCTION("""COMPUTED_VALUE"""),"ту 14-1-205, НД, АТП, УзК, кован")</f>
        <v>ту 14-1-205, НД, АТП, УзК, кован</v>
      </c>
      <c r="G132" s="125">
        <f ca="1">IFERROR(__xludf.DUMMYFUNCTION("""COMPUTED_VALUE"""),1.5)</f>
        <v>1.5</v>
      </c>
      <c r="H132" s="125"/>
      <c r="I132" s="131">
        <f ca="1">IFERROR(__xludf.DUMMYFUNCTION("""COMPUTED_VALUE"""),900000)</f>
        <v>900000</v>
      </c>
    </row>
    <row r="133" spans="2:9" ht="15.75" x14ac:dyDescent="0.25">
      <c r="B133" s="123" t="str">
        <f ca="1">IFERROR(__xludf.DUMMYFUNCTION("""COMPUTED_VALUE"""),"круг")</f>
        <v>круг</v>
      </c>
      <c r="C133" s="133" t="str">
        <f ca="1">IFERROR(__xludf.DUMMYFUNCTION("""COMPUTED_VALUE"""),"07Х16Н6 (ЭП288)")</f>
        <v>07Х16Н6 (ЭП288)</v>
      </c>
      <c r="D133" s="124">
        <f ca="1">IFERROR(__xludf.DUMMYFUNCTION("""COMPUTED_VALUE"""),300)</f>
        <v>300</v>
      </c>
      <c r="E133" s="124"/>
      <c r="F133" s="112" t="str">
        <f ca="1">IFERROR(__xludf.DUMMYFUNCTION("""COMPUTED_VALUE"""),"ту 14-1-205, НД, АТП, УзК, кован")</f>
        <v>ту 14-1-205, НД, АТП, УзК, кован</v>
      </c>
      <c r="G133" s="125">
        <f ca="1">IFERROR(__xludf.DUMMYFUNCTION("""COMPUTED_VALUE"""),1.5)</f>
        <v>1.5</v>
      </c>
      <c r="H133" s="125"/>
      <c r="I133" s="131">
        <f ca="1">IFERROR(__xludf.DUMMYFUNCTION("""COMPUTED_VALUE"""),900000)</f>
        <v>900000</v>
      </c>
    </row>
    <row r="134" spans="2:9" ht="15.75" x14ac:dyDescent="0.25">
      <c r="B134" s="123" t="str">
        <f ca="1">IFERROR(__xludf.DUMMYFUNCTION("""COMPUTED_VALUE"""),"круг")</f>
        <v>круг</v>
      </c>
      <c r="C134" s="133" t="str">
        <f ca="1">IFERROR(__xludf.DUMMYFUNCTION("""COMPUTED_VALUE"""),"07Х16Н6 (ЭП288)")</f>
        <v>07Х16Н6 (ЭП288)</v>
      </c>
      <c r="D134" s="124">
        <f ca="1">IFERROR(__xludf.DUMMYFUNCTION("""COMPUTED_VALUE"""),320)</f>
        <v>320</v>
      </c>
      <c r="E134" s="124"/>
      <c r="F134" s="112" t="str">
        <f ca="1">IFERROR(__xludf.DUMMYFUNCTION("""COMPUTED_VALUE"""),"ту 14-1-205, НД, АТП, УзК, кован")</f>
        <v>ту 14-1-205, НД, АТП, УзК, кован</v>
      </c>
      <c r="G134" s="125">
        <f ca="1">IFERROR(__xludf.DUMMYFUNCTION("""COMPUTED_VALUE"""),2)</f>
        <v>2</v>
      </c>
      <c r="H134" s="125"/>
      <c r="I134" s="131">
        <f ca="1">IFERROR(__xludf.DUMMYFUNCTION("""COMPUTED_VALUE"""),900000)</f>
        <v>900000</v>
      </c>
    </row>
    <row r="135" spans="2:9" ht="15.75" x14ac:dyDescent="0.25">
      <c r="B135" s="123" t="str">
        <f ca="1">IFERROR(__xludf.DUMMYFUNCTION("""COMPUTED_VALUE"""),"круг")</f>
        <v>круг</v>
      </c>
      <c r="C135" s="133" t="str">
        <f ca="1">IFERROR(__xludf.DUMMYFUNCTION("""COMPUTED_VALUE"""),"07Х16Н6 (ЭП288)")</f>
        <v>07Х16Н6 (ЭП288)</v>
      </c>
      <c r="D135" s="124">
        <f ca="1">IFERROR(__xludf.DUMMYFUNCTION("""COMPUTED_VALUE"""),350)</f>
        <v>350</v>
      </c>
      <c r="E135" s="124"/>
      <c r="F135" s="112" t="str">
        <f ca="1">IFERROR(__xludf.DUMMYFUNCTION("""COMPUTED_VALUE"""),"ту 14-1-205, НД, АТП, УзК, кован")</f>
        <v>ту 14-1-205, НД, АТП, УзК, кован</v>
      </c>
      <c r="G135" s="125">
        <f ca="1">IFERROR(__xludf.DUMMYFUNCTION("""COMPUTED_VALUE"""),2)</f>
        <v>2</v>
      </c>
      <c r="H135" s="125"/>
      <c r="I135" s="131">
        <f ca="1">IFERROR(__xludf.DUMMYFUNCTION("""COMPUTED_VALUE"""),900000)</f>
        <v>900000</v>
      </c>
    </row>
    <row r="136" spans="2:9" ht="15.75" x14ac:dyDescent="0.25">
      <c r="B136" s="123" t="str">
        <f ca="1">IFERROR(__xludf.DUMMYFUNCTION("""COMPUTED_VALUE"""),"круг")</f>
        <v>круг</v>
      </c>
      <c r="C136" s="133" t="str">
        <f ca="1">IFERROR(__xludf.DUMMYFUNCTION("""COMPUTED_VALUE"""),"07Х16Н6 (ЭП288)")</f>
        <v>07Х16Н6 (ЭП288)</v>
      </c>
      <c r="D136" s="124">
        <f ca="1">IFERROR(__xludf.DUMMYFUNCTION("""COMPUTED_VALUE"""),380)</f>
        <v>380</v>
      </c>
      <c r="E136" s="124"/>
      <c r="F136" s="112" t="str">
        <f ca="1">IFERROR(__xludf.DUMMYFUNCTION("""COMPUTED_VALUE"""),"ту 14-1-205, НД, АТП, УзК, кован")</f>
        <v>ту 14-1-205, НД, АТП, УзК, кован</v>
      </c>
      <c r="G136" s="125">
        <f ca="1">IFERROR(__xludf.DUMMYFUNCTION("""COMPUTED_VALUE"""),2)</f>
        <v>2</v>
      </c>
      <c r="H136" s="125"/>
      <c r="I136" s="131">
        <f ca="1">IFERROR(__xludf.DUMMYFUNCTION("""COMPUTED_VALUE"""),900000)</f>
        <v>900000</v>
      </c>
    </row>
    <row r="137" spans="2:9" ht="15.75" x14ac:dyDescent="0.25">
      <c r="B137" s="123" t="str">
        <f ca="1">IFERROR(__xludf.DUMMYFUNCTION("""COMPUTED_VALUE"""),"круг")</f>
        <v>круг</v>
      </c>
      <c r="C137" s="133" t="str">
        <f ca="1">IFERROR(__xludf.DUMMYFUNCTION("""COMPUTED_VALUE"""),"07Х16Н6 (ЭП288)")</f>
        <v>07Х16Н6 (ЭП288)</v>
      </c>
      <c r="D137" s="124">
        <f ca="1">IFERROR(__xludf.DUMMYFUNCTION("""COMPUTED_VALUE"""),400)</f>
        <v>400</v>
      </c>
      <c r="E137" s="124"/>
      <c r="F137" s="112" t="str">
        <f ca="1">IFERROR(__xludf.DUMMYFUNCTION("""COMPUTED_VALUE"""),"ту 14-1-205, НД, АТП, УзК, кован")</f>
        <v>ту 14-1-205, НД, АТП, УзК, кован</v>
      </c>
      <c r="G137" s="125">
        <f ca="1">IFERROR(__xludf.DUMMYFUNCTION("""COMPUTED_VALUE"""),2.5)</f>
        <v>2.5</v>
      </c>
      <c r="H137" s="125"/>
      <c r="I137" s="131">
        <f ca="1">IFERROR(__xludf.DUMMYFUNCTION("""COMPUTED_VALUE"""),900000)</f>
        <v>900000</v>
      </c>
    </row>
    <row r="138" spans="2:9" ht="15.75" x14ac:dyDescent="0.25">
      <c r="B138" s="123" t="str">
        <f ca="1">IFERROR(__xludf.DUMMYFUNCTION("""COMPUTED_VALUE"""),"круг")</f>
        <v>круг</v>
      </c>
      <c r="C138" s="133" t="str">
        <f ca="1">IFERROR(__xludf.DUMMYFUNCTION("""COMPUTED_VALUE"""),"07Х16Н6 (ЭП288)")</f>
        <v>07Х16Н6 (ЭП288)</v>
      </c>
      <c r="D138" s="124">
        <f ca="1">IFERROR(__xludf.DUMMYFUNCTION("""COMPUTED_VALUE"""),420)</f>
        <v>420</v>
      </c>
      <c r="E138" s="124"/>
      <c r="F138" s="112" t="str">
        <f ca="1">IFERROR(__xludf.DUMMYFUNCTION("""COMPUTED_VALUE"""),"ту 14-1-205, НД, АТП, УзК, кован")</f>
        <v>ту 14-1-205, НД, АТП, УзК, кован</v>
      </c>
      <c r="G138" s="125">
        <f ca="1">IFERROR(__xludf.DUMMYFUNCTION("""COMPUTED_VALUE"""),3)</f>
        <v>3</v>
      </c>
      <c r="H138" s="125"/>
      <c r="I138" s="131">
        <f ca="1">IFERROR(__xludf.DUMMYFUNCTION("""COMPUTED_VALUE"""),900000)</f>
        <v>900000</v>
      </c>
    </row>
    <row r="139" spans="2:9" ht="15.75" x14ac:dyDescent="0.25">
      <c r="B139" s="123" t="str">
        <f ca="1">IFERROR(__xludf.DUMMYFUNCTION("""COMPUTED_VALUE"""),"круг")</f>
        <v>круг</v>
      </c>
      <c r="C139" s="133" t="str">
        <f ca="1">IFERROR(__xludf.DUMMYFUNCTION("""COMPUTED_VALUE"""),"07Х16Н6 (ЭП288)")</f>
        <v>07Х16Н6 (ЭП288)</v>
      </c>
      <c r="D139" s="124">
        <f ca="1">IFERROR(__xludf.DUMMYFUNCTION("""COMPUTED_VALUE"""),450)</f>
        <v>450</v>
      </c>
      <c r="E139" s="124"/>
      <c r="F139" s="112" t="str">
        <f ca="1">IFERROR(__xludf.DUMMYFUNCTION("""COMPUTED_VALUE"""),"ту 14-1-205, НД, АТП, УзК, кован")</f>
        <v>ту 14-1-205, НД, АТП, УзК, кован</v>
      </c>
      <c r="G139" s="125">
        <f ca="1">IFERROR(__xludf.DUMMYFUNCTION("""COMPUTED_VALUE"""),3)</f>
        <v>3</v>
      </c>
      <c r="H139" s="125"/>
      <c r="I139" s="131">
        <f ca="1">IFERROR(__xludf.DUMMYFUNCTION("""COMPUTED_VALUE"""),900000)</f>
        <v>900000</v>
      </c>
    </row>
    <row r="140" spans="2:9" ht="15.75" x14ac:dyDescent="0.25">
      <c r="B140" s="123" t="str">
        <f ca="1">IFERROR(__xludf.DUMMYFUNCTION("""COMPUTED_VALUE"""),"круг")</f>
        <v>круг</v>
      </c>
      <c r="C140" s="133" t="str">
        <f ca="1">IFERROR(__xludf.DUMMYFUNCTION("""COMPUTED_VALUE"""),"07Х16Н6 (ЭП288)")</f>
        <v>07Х16Н6 (ЭП288)</v>
      </c>
      <c r="D140" s="124">
        <f ca="1">IFERROR(__xludf.DUMMYFUNCTION("""COMPUTED_VALUE"""),500)</f>
        <v>500</v>
      </c>
      <c r="E140" s="124"/>
      <c r="F140" s="112" t="str">
        <f ca="1">IFERROR(__xludf.DUMMYFUNCTION("""COMPUTED_VALUE"""),"ту 14-1-205, НД, АТП, УзК, кован")</f>
        <v>ту 14-1-205, НД, АТП, УзК, кован</v>
      </c>
      <c r="G140" s="125">
        <f ca="1">IFERROR(__xludf.DUMMYFUNCTION("""COMPUTED_VALUE"""),3)</f>
        <v>3</v>
      </c>
      <c r="H140" s="125"/>
      <c r="I140" s="131">
        <f ca="1">IFERROR(__xludf.DUMMYFUNCTION("""COMPUTED_VALUE"""),900000)</f>
        <v>900000</v>
      </c>
    </row>
    <row r="141" spans="2:9" ht="15.75" x14ac:dyDescent="0.25">
      <c r="B141" s="123" t="str">
        <f ca="1">IFERROR(__xludf.DUMMYFUNCTION("""COMPUTED_VALUE"""),"круг")</f>
        <v>круг</v>
      </c>
      <c r="C141" s="133" t="str">
        <f ca="1">IFERROR(__xludf.DUMMYFUNCTION("""COMPUTED_VALUE"""),"07х16н4Б")</f>
        <v>07х16н4Б</v>
      </c>
      <c r="D141" s="124">
        <f ca="1">IFERROR(__xludf.DUMMYFUNCTION("""COMPUTED_VALUE"""),10)</f>
        <v>10</v>
      </c>
      <c r="E141" s="124"/>
      <c r="F141" s="112" t="str">
        <f ca="1">IFERROR(__xludf.DUMMYFUNCTION("""COMPUTED_VALUE"""),"ту 14-1-3573-83, 2гп ")</f>
        <v xml:space="preserve">ту 14-1-3573-83, 2гп </v>
      </c>
      <c r="G141" s="125">
        <f ca="1">IFERROR(__xludf.DUMMYFUNCTION("""COMPUTED_VALUE"""),0.531)</f>
        <v>0.53100000000000003</v>
      </c>
      <c r="H141" s="125"/>
      <c r="I141" s="131">
        <f ca="1">IFERROR(__xludf.DUMMYFUNCTION("""COMPUTED_VALUE"""),900000)</f>
        <v>900000</v>
      </c>
    </row>
    <row r="142" spans="2:9" ht="15.75" x14ac:dyDescent="0.25">
      <c r="B142" s="123" t="str">
        <f ca="1">IFERROR(__xludf.DUMMYFUNCTION("""COMPUTED_VALUE"""),"круг")</f>
        <v>круг</v>
      </c>
      <c r="C142" s="133" t="str">
        <f ca="1">IFERROR(__xludf.DUMMYFUNCTION("""COMPUTED_VALUE"""),"07х16н4Б")</f>
        <v>07х16н4Б</v>
      </c>
      <c r="D142" s="124">
        <f ca="1">IFERROR(__xludf.DUMMYFUNCTION("""COMPUTED_VALUE"""),10)</f>
        <v>10</v>
      </c>
      <c r="E142" s="124"/>
      <c r="F142" s="112" t="str">
        <f ca="1">IFERROR(__xludf.DUMMYFUNCTION("""COMPUTED_VALUE"""),"ту 14-1-3573-83, 2гп ")</f>
        <v xml:space="preserve">ту 14-1-3573-83, 2гп </v>
      </c>
      <c r="G142" s="125">
        <f ca="1">IFERROR(__xludf.DUMMYFUNCTION("""COMPUTED_VALUE"""),0.326)</f>
        <v>0.32600000000000001</v>
      </c>
      <c r="H142" s="125"/>
      <c r="I142" s="131">
        <f ca="1">IFERROR(__xludf.DUMMYFUNCTION("""COMPUTED_VALUE"""),900000)</f>
        <v>900000</v>
      </c>
    </row>
    <row r="143" spans="2:9" ht="15.75" x14ac:dyDescent="0.25">
      <c r="B143" s="123" t="str">
        <f ca="1">IFERROR(__xludf.DUMMYFUNCTION("""COMPUTED_VALUE"""),"круг")</f>
        <v>круг</v>
      </c>
      <c r="C143" s="133" t="str">
        <f ca="1">IFERROR(__xludf.DUMMYFUNCTION("""COMPUTED_VALUE"""),"07х16н4Б")</f>
        <v>07х16н4Б</v>
      </c>
      <c r="D143" s="124">
        <f ca="1">IFERROR(__xludf.DUMMYFUNCTION("""COMPUTED_VALUE"""),15)</f>
        <v>15</v>
      </c>
      <c r="E143" s="124"/>
      <c r="F143" s="112" t="str">
        <f ca="1">IFERROR(__xludf.DUMMYFUNCTION("""COMPUTED_VALUE"""),"ту 14-1-3573-83, 2гп РТТ")</f>
        <v>ту 14-1-3573-83, 2гп РТТ</v>
      </c>
      <c r="G143" s="125">
        <f ca="1">IFERROR(__xludf.DUMMYFUNCTION("""COMPUTED_VALUE"""),0.624)</f>
        <v>0.624</v>
      </c>
      <c r="H143" s="125"/>
      <c r="I143" s="131">
        <f ca="1">IFERROR(__xludf.DUMMYFUNCTION("""COMPUTED_VALUE"""),900000)</f>
        <v>900000</v>
      </c>
    </row>
    <row r="144" spans="2:9" ht="15.75" x14ac:dyDescent="0.25">
      <c r="B144" s="123" t="str">
        <f ca="1">IFERROR(__xludf.DUMMYFUNCTION("""COMPUTED_VALUE"""),"круг")</f>
        <v>круг</v>
      </c>
      <c r="C144" s="133" t="str">
        <f ca="1">IFERROR(__xludf.DUMMYFUNCTION("""COMPUTED_VALUE"""),"07х16н4Б")</f>
        <v>07х16н4Б</v>
      </c>
      <c r="D144" s="124">
        <f ca="1">IFERROR(__xludf.DUMMYFUNCTION("""COMPUTED_VALUE"""),18)</f>
        <v>18</v>
      </c>
      <c r="E144" s="124"/>
      <c r="F144" s="112" t="str">
        <f ca="1">IFERROR(__xludf.DUMMYFUNCTION("""COMPUTED_VALUE"""),"ту 14-1-3573-83, 2гп РТТ")</f>
        <v>ту 14-1-3573-83, 2гп РТТ</v>
      </c>
      <c r="G144" s="125">
        <f ca="1">IFERROR(__xludf.DUMMYFUNCTION("""COMPUTED_VALUE"""),0.29)</f>
        <v>0.28999999999999998</v>
      </c>
      <c r="H144" s="125"/>
      <c r="I144" s="131">
        <f ca="1">IFERROR(__xludf.DUMMYFUNCTION("""COMPUTED_VALUE"""),900000)</f>
        <v>900000</v>
      </c>
    </row>
    <row r="145" spans="2:9" ht="15.75" x14ac:dyDescent="0.25">
      <c r="B145" s="123" t="str">
        <f ca="1">IFERROR(__xludf.DUMMYFUNCTION("""COMPUTED_VALUE"""),"круг")</f>
        <v>круг</v>
      </c>
      <c r="C145" s="133" t="str">
        <f ca="1">IFERROR(__xludf.DUMMYFUNCTION("""COMPUTED_VALUE"""),"07х16н4Б")</f>
        <v>07х16н4Б</v>
      </c>
      <c r="D145" s="124">
        <f ca="1">IFERROR(__xludf.DUMMYFUNCTION("""COMPUTED_VALUE"""),20)</f>
        <v>20</v>
      </c>
      <c r="E145" s="124"/>
      <c r="F145" s="112" t="str">
        <f ca="1">IFERROR(__xludf.DUMMYFUNCTION("""COMPUTED_VALUE"""),"ту 14-1-3573-83, 2гп РТТ ")</f>
        <v xml:space="preserve">ту 14-1-3573-83, 2гп РТТ </v>
      </c>
      <c r="G145" s="125">
        <f ca="1">IFERROR(__xludf.DUMMYFUNCTION("""COMPUTED_VALUE"""),0.206)</f>
        <v>0.20599999999999999</v>
      </c>
      <c r="H145" s="125"/>
      <c r="I145" s="131">
        <f ca="1">IFERROR(__xludf.DUMMYFUNCTION("""COMPUTED_VALUE"""),900000)</f>
        <v>900000</v>
      </c>
    </row>
    <row r="146" spans="2:9" ht="15.75" x14ac:dyDescent="0.25">
      <c r="B146" s="123" t="str">
        <f ca="1">IFERROR(__xludf.DUMMYFUNCTION("""COMPUTED_VALUE"""),"круг")</f>
        <v>круг</v>
      </c>
      <c r="C146" s="133" t="str">
        <f ca="1">IFERROR(__xludf.DUMMYFUNCTION("""COMPUTED_VALUE"""),"07х16н4Б")</f>
        <v>07х16н4Б</v>
      </c>
      <c r="D146" s="124">
        <f ca="1">IFERROR(__xludf.DUMMYFUNCTION("""COMPUTED_VALUE"""),20)</f>
        <v>20</v>
      </c>
      <c r="E146" s="124"/>
      <c r="F146" s="112" t="str">
        <f ca="1">IFERROR(__xludf.DUMMYFUNCTION("""COMPUTED_VALUE"""),"ту 14-1-3573-83, 2гп РТТ ")</f>
        <v xml:space="preserve">ту 14-1-3573-83, 2гп РТТ </v>
      </c>
      <c r="G146" s="125">
        <f ca="1">IFERROR(__xludf.DUMMYFUNCTION("""COMPUTED_VALUE"""),0.24)</f>
        <v>0.24</v>
      </c>
      <c r="H146" s="125"/>
      <c r="I146" s="131">
        <f ca="1">IFERROR(__xludf.DUMMYFUNCTION("""COMPUTED_VALUE"""),900000)</f>
        <v>900000</v>
      </c>
    </row>
    <row r="147" spans="2:9" ht="15.75" x14ac:dyDescent="0.25">
      <c r="B147" s="123" t="str">
        <f ca="1">IFERROR(__xludf.DUMMYFUNCTION("""COMPUTED_VALUE"""),"круг")</f>
        <v>круг</v>
      </c>
      <c r="C147" s="133" t="str">
        <f ca="1">IFERROR(__xludf.DUMMYFUNCTION("""COMPUTED_VALUE"""),"07х16н4Б")</f>
        <v>07х16н4Б</v>
      </c>
      <c r="D147" s="124">
        <f ca="1">IFERROR(__xludf.DUMMYFUNCTION("""COMPUTED_VALUE"""),20)</f>
        <v>20</v>
      </c>
      <c r="E147" s="124"/>
      <c r="F147" s="112" t="str">
        <f ca="1">IFERROR(__xludf.DUMMYFUNCTION("""COMPUTED_VALUE"""),"ту 14-1-3573-83, 2гп РТТ")</f>
        <v>ту 14-1-3573-83, 2гп РТТ</v>
      </c>
      <c r="G147" s="125">
        <f ca="1">IFERROR(__xludf.DUMMYFUNCTION("""COMPUTED_VALUE"""),0.154)</f>
        <v>0.154</v>
      </c>
      <c r="H147" s="125"/>
      <c r="I147" s="131">
        <f ca="1">IFERROR(__xludf.DUMMYFUNCTION("""COMPUTED_VALUE"""),900000)</f>
        <v>900000</v>
      </c>
    </row>
    <row r="148" spans="2:9" ht="15.75" x14ac:dyDescent="0.25">
      <c r="B148" s="123" t="str">
        <f ca="1">IFERROR(__xludf.DUMMYFUNCTION("""COMPUTED_VALUE"""),"круг")</f>
        <v>круг</v>
      </c>
      <c r="C148" s="133" t="str">
        <f ca="1">IFERROR(__xludf.DUMMYFUNCTION("""COMPUTED_VALUE"""),"07х16н4Б")</f>
        <v>07х16н4Б</v>
      </c>
      <c r="D148" s="124">
        <f ca="1">IFERROR(__xludf.DUMMYFUNCTION("""COMPUTED_VALUE"""),25)</f>
        <v>25</v>
      </c>
      <c r="E148" s="124"/>
      <c r="F148" s="112" t="str">
        <f ca="1">IFERROR(__xludf.DUMMYFUNCTION("""COMPUTED_VALUE"""),"ту 14-1-3573-83, 2гп ")</f>
        <v xml:space="preserve">ту 14-1-3573-83, 2гп </v>
      </c>
      <c r="G148" s="125">
        <f ca="1">IFERROR(__xludf.DUMMYFUNCTION("""COMPUTED_VALUE"""),0.211999999999999)</f>
        <v>0.21199999999999899</v>
      </c>
      <c r="H148" s="125"/>
      <c r="I148" s="131">
        <f ca="1">IFERROR(__xludf.DUMMYFUNCTION("""COMPUTED_VALUE"""),900000)</f>
        <v>900000</v>
      </c>
    </row>
    <row r="149" spans="2:9" ht="15.75" x14ac:dyDescent="0.25">
      <c r="B149" s="123" t="str">
        <f ca="1">IFERROR(__xludf.DUMMYFUNCTION("""COMPUTED_VALUE"""),"круг")</f>
        <v>круг</v>
      </c>
      <c r="C149" s="133" t="str">
        <f ca="1">IFERROR(__xludf.DUMMYFUNCTION("""COMPUTED_VALUE"""),"07х16н4Б")</f>
        <v>07х16н4Б</v>
      </c>
      <c r="D149" s="124">
        <f ca="1">IFERROR(__xludf.DUMMYFUNCTION("""COMPUTED_VALUE"""),25)</f>
        <v>25</v>
      </c>
      <c r="E149" s="124"/>
      <c r="F149" s="112" t="str">
        <f ca="1">IFERROR(__xludf.DUMMYFUNCTION("""COMPUTED_VALUE"""),"ту 14-1-3573-83, 2гп ")</f>
        <v xml:space="preserve">ту 14-1-3573-83, 2гп </v>
      </c>
      <c r="G149" s="125">
        <f ca="1">IFERROR(__xludf.DUMMYFUNCTION("""COMPUTED_VALUE"""),0.556)</f>
        <v>0.55600000000000005</v>
      </c>
      <c r="H149" s="125"/>
      <c r="I149" s="131">
        <f ca="1">IFERROR(__xludf.DUMMYFUNCTION("""COMPUTED_VALUE"""),900000)</f>
        <v>900000</v>
      </c>
    </row>
    <row r="150" spans="2:9" ht="15.75" x14ac:dyDescent="0.25">
      <c r="B150" s="123" t="str">
        <f ca="1">IFERROR(__xludf.DUMMYFUNCTION("""COMPUTED_VALUE"""),"круг")</f>
        <v>круг</v>
      </c>
      <c r="C150" s="133" t="str">
        <f ca="1">IFERROR(__xludf.DUMMYFUNCTION("""COMPUTED_VALUE"""),"07х16н4Б")</f>
        <v>07х16н4Б</v>
      </c>
      <c r="D150" s="124">
        <f ca="1">IFERROR(__xludf.DUMMYFUNCTION("""COMPUTED_VALUE"""),30)</f>
        <v>30</v>
      </c>
      <c r="E150" s="124"/>
      <c r="F150" s="112" t="str">
        <f ca="1">IFERROR(__xludf.DUMMYFUNCTION("""COMPUTED_VALUE"""),"ту 14-1-3573-83, 2гп УЗК, контроль Со")</f>
        <v>ту 14-1-3573-83, 2гп УЗК, контроль Со</v>
      </c>
      <c r="G150" s="125">
        <f ca="1">IFERROR(__xludf.DUMMYFUNCTION("""COMPUTED_VALUE"""),1.055)</f>
        <v>1.0549999999999999</v>
      </c>
      <c r="H150" s="125"/>
      <c r="I150" s="131">
        <f ca="1">IFERROR(__xludf.DUMMYFUNCTION("""COMPUTED_VALUE"""),900000)</f>
        <v>900000</v>
      </c>
    </row>
    <row r="151" spans="2:9" ht="15.75" x14ac:dyDescent="0.25">
      <c r="B151" s="123" t="str">
        <f ca="1">IFERROR(__xludf.DUMMYFUNCTION("""COMPUTED_VALUE"""),"круг")</f>
        <v>круг</v>
      </c>
      <c r="C151" s="133" t="str">
        <f ca="1">IFERROR(__xludf.DUMMYFUNCTION("""COMPUTED_VALUE"""),"07х16н4Б-Ш")</f>
        <v>07х16н4Б-Ш</v>
      </c>
      <c r="D151" s="124">
        <f ca="1">IFERROR(__xludf.DUMMYFUNCTION("""COMPUTED_VALUE"""),30)</f>
        <v>30</v>
      </c>
      <c r="E151" s="124"/>
      <c r="F151" s="112" t="str">
        <f ca="1">IFERROR(__xludf.DUMMYFUNCTION("""COMPUTED_VALUE"""),"ту 14-1-3573-83, 2гп , УЗК РТТ")</f>
        <v>ту 14-1-3573-83, 2гп , УЗК РТТ</v>
      </c>
      <c r="G151" s="125">
        <f ca="1">IFERROR(__xludf.DUMMYFUNCTION("""COMPUTED_VALUE"""),0.226)</f>
        <v>0.22600000000000001</v>
      </c>
      <c r="H151" s="125"/>
      <c r="I151" s="131">
        <f ca="1">IFERROR(__xludf.DUMMYFUNCTION("""COMPUTED_VALUE"""),800000)</f>
        <v>800000</v>
      </c>
    </row>
    <row r="152" spans="2:9" ht="15.75" x14ac:dyDescent="0.25">
      <c r="B152" s="123" t="str">
        <f ca="1">IFERROR(__xludf.DUMMYFUNCTION("""COMPUTED_VALUE"""),"круг")</f>
        <v>круг</v>
      </c>
      <c r="C152" s="133" t="str">
        <f ca="1">IFERROR(__xludf.DUMMYFUNCTION("""COMPUTED_VALUE"""),"07х16н4Б")</f>
        <v>07х16н4Б</v>
      </c>
      <c r="D152" s="124">
        <f ca="1">IFERROR(__xludf.DUMMYFUNCTION("""COMPUTED_VALUE"""),36)</f>
        <v>36</v>
      </c>
      <c r="E152" s="124"/>
      <c r="F152" s="112" t="str">
        <f ca="1">IFERROR(__xludf.DUMMYFUNCTION("""COMPUTED_VALUE"""),"ту 14-1-3573-83, 2гп ")</f>
        <v xml:space="preserve">ту 14-1-3573-83, 2гп </v>
      </c>
      <c r="G152" s="125">
        <f ca="1">IFERROR(__xludf.DUMMYFUNCTION("""COMPUTED_VALUE"""),0.096)</f>
        <v>9.6000000000000002E-2</v>
      </c>
      <c r="H152" s="125"/>
      <c r="I152" s="131">
        <f ca="1">IFERROR(__xludf.DUMMYFUNCTION("""COMPUTED_VALUE"""),870000)</f>
        <v>870000</v>
      </c>
    </row>
    <row r="153" spans="2:9" ht="15.75" x14ac:dyDescent="0.25">
      <c r="B153" s="123" t="str">
        <f ca="1">IFERROR(__xludf.DUMMYFUNCTION("""COMPUTED_VALUE"""),"круг")</f>
        <v>круг</v>
      </c>
      <c r="C153" s="133" t="str">
        <f ca="1">IFERROR(__xludf.DUMMYFUNCTION("""COMPUTED_VALUE"""),"07х16н4Б")</f>
        <v>07х16н4Б</v>
      </c>
      <c r="D153" s="124">
        <f ca="1">IFERROR(__xludf.DUMMYFUNCTION("""COMPUTED_VALUE"""),36)</f>
        <v>36</v>
      </c>
      <c r="E153" s="124"/>
      <c r="F153" s="112" t="str">
        <f ca="1">IFERROR(__xludf.DUMMYFUNCTION("""COMPUTED_VALUE"""),"ту 14-1-3573-83, 2гп ")</f>
        <v xml:space="preserve">ту 14-1-3573-83, 2гп </v>
      </c>
      <c r="G153" s="125">
        <f ca="1">IFERROR(__xludf.DUMMYFUNCTION("""COMPUTED_VALUE"""),0.912)</f>
        <v>0.91200000000000003</v>
      </c>
      <c r="H153" s="125"/>
      <c r="I153" s="131">
        <f ca="1">IFERROR(__xludf.DUMMYFUNCTION("""COMPUTED_VALUE"""),870000)</f>
        <v>870000</v>
      </c>
    </row>
    <row r="154" spans="2:9" ht="15.75" x14ac:dyDescent="0.25">
      <c r="B154" s="123" t="str">
        <f ca="1">IFERROR(__xludf.DUMMYFUNCTION("""COMPUTED_VALUE"""),"круг")</f>
        <v>круг</v>
      </c>
      <c r="C154" s="133" t="str">
        <f ca="1">IFERROR(__xludf.DUMMYFUNCTION("""COMPUTED_VALUE"""),"07х16н4Б")</f>
        <v>07х16н4Б</v>
      </c>
      <c r="D154" s="124">
        <f ca="1">IFERROR(__xludf.DUMMYFUNCTION("""COMPUTED_VALUE"""),36)</f>
        <v>36</v>
      </c>
      <c r="E154" s="124"/>
      <c r="F154" s="112" t="str">
        <f ca="1">IFERROR(__xludf.DUMMYFUNCTION("""COMPUTED_VALUE"""),"ту 14-1-3573-83, 2гп ")</f>
        <v xml:space="preserve">ту 14-1-3573-83, 2гп </v>
      </c>
      <c r="G154" s="125">
        <f ca="1">IFERROR(__xludf.DUMMYFUNCTION("""COMPUTED_VALUE"""),0.096)</f>
        <v>9.6000000000000002E-2</v>
      </c>
      <c r="H154" s="125"/>
      <c r="I154" s="131">
        <f ca="1">IFERROR(__xludf.DUMMYFUNCTION("""COMPUTED_VALUE"""),870000)</f>
        <v>870000</v>
      </c>
    </row>
    <row r="155" spans="2:9" ht="15.75" x14ac:dyDescent="0.25">
      <c r="B155" s="123" t="str">
        <f ca="1">IFERROR(__xludf.DUMMYFUNCTION("""COMPUTED_VALUE"""),"круг")</f>
        <v>круг</v>
      </c>
      <c r="C155" s="133" t="str">
        <f ca="1">IFERROR(__xludf.DUMMYFUNCTION("""COMPUTED_VALUE"""),"07х16н4Б")</f>
        <v>07х16н4Б</v>
      </c>
      <c r="D155" s="124">
        <f ca="1">IFERROR(__xludf.DUMMYFUNCTION("""COMPUTED_VALUE"""),36)</f>
        <v>36</v>
      </c>
      <c r="E155" s="124"/>
      <c r="F155" s="112" t="str">
        <f ca="1">IFERROR(__xludf.DUMMYFUNCTION("""COMPUTED_VALUE"""),"ту 14-1-3573-83, 2гп ")</f>
        <v xml:space="preserve">ту 14-1-3573-83, 2гп </v>
      </c>
      <c r="G155" s="125">
        <f ca="1">IFERROR(__xludf.DUMMYFUNCTION("""COMPUTED_VALUE"""),0.494)</f>
        <v>0.49399999999999999</v>
      </c>
      <c r="H155" s="125"/>
      <c r="I155" s="131">
        <f ca="1">IFERROR(__xludf.DUMMYFUNCTION("""COMPUTED_VALUE"""),870000)</f>
        <v>870000</v>
      </c>
    </row>
    <row r="156" spans="2:9" ht="15.75" x14ac:dyDescent="0.25">
      <c r="B156" s="123" t="str">
        <f ca="1">IFERROR(__xludf.DUMMYFUNCTION("""COMPUTED_VALUE"""),"круг")</f>
        <v>круг</v>
      </c>
      <c r="C156" s="133" t="str">
        <f ca="1">IFERROR(__xludf.DUMMYFUNCTION("""COMPUTED_VALUE"""),"07х16н4Б")</f>
        <v>07х16н4Б</v>
      </c>
      <c r="D156" s="124">
        <f ca="1">IFERROR(__xludf.DUMMYFUNCTION("""COMPUTED_VALUE"""),36)</f>
        <v>36</v>
      </c>
      <c r="E156" s="124"/>
      <c r="F156" s="112" t="str">
        <f ca="1">IFERROR(__xludf.DUMMYFUNCTION("""COMPUTED_VALUE"""),"ту 14-1-3573-83, 2гп ")</f>
        <v xml:space="preserve">ту 14-1-3573-83, 2гп </v>
      </c>
      <c r="G156" s="125">
        <f ca="1">IFERROR(__xludf.DUMMYFUNCTION("""COMPUTED_VALUE"""),0.622)</f>
        <v>0.622</v>
      </c>
      <c r="H156" s="125"/>
      <c r="I156" s="131">
        <f ca="1">IFERROR(__xludf.DUMMYFUNCTION("""COMPUTED_VALUE"""),870000)</f>
        <v>870000</v>
      </c>
    </row>
    <row r="157" spans="2:9" ht="15.75" x14ac:dyDescent="0.25">
      <c r="B157" s="123" t="str">
        <f ca="1">IFERROR(__xludf.DUMMYFUNCTION("""COMPUTED_VALUE"""),"круг")</f>
        <v>круг</v>
      </c>
      <c r="C157" s="133" t="str">
        <f ca="1">IFERROR(__xludf.DUMMYFUNCTION("""COMPUTED_VALUE"""),"07х16н4Б")</f>
        <v>07х16н4Б</v>
      </c>
      <c r="D157" s="124">
        <f ca="1">IFERROR(__xludf.DUMMYFUNCTION("""COMPUTED_VALUE"""),40)</f>
        <v>40</v>
      </c>
      <c r="E157" s="124"/>
      <c r="F157" s="112" t="str">
        <f ca="1">IFERROR(__xludf.DUMMYFUNCTION("""COMPUTED_VALUE"""),"ту 14-1-3573-83, 2гп ")</f>
        <v xml:space="preserve">ту 14-1-3573-83, 2гп </v>
      </c>
      <c r="G157" s="125">
        <f ca="1">IFERROR(__xludf.DUMMYFUNCTION("""COMPUTED_VALUE"""),0.434999999999999)</f>
        <v>0.434999999999999</v>
      </c>
      <c r="H157" s="125"/>
      <c r="I157" s="131">
        <f ca="1">IFERROR(__xludf.DUMMYFUNCTION("""COMPUTED_VALUE"""),850000)</f>
        <v>850000</v>
      </c>
    </row>
    <row r="158" spans="2:9" ht="15.75" x14ac:dyDescent="0.25">
      <c r="B158" s="123" t="str">
        <f ca="1">IFERROR(__xludf.DUMMYFUNCTION("""COMPUTED_VALUE"""),"круг")</f>
        <v>круг</v>
      </c>
      <c r="C158" s="133" t="str">
        <f ca="1">IFERROR(__xludf.DUMMYFUNCTION("""COMPUTED_VALUE"""),"07х16н4Б")</f>
        <v>07х16н4Б</v>
      </c>
      <c r="D158" s="124">
        <f ca="1">IFERROR(__xludf.DUMMYFUNCTION("""COMPUTED_VALUE"""),45)</f>
        <v>45</v>
      </c>
      <c r="E158" s="124"/>
      <c r="F158" s="112" t="str">
        <f ca="1">IFERROR(__xludf.DUMMYFUNCTION("""COMPUTED_VALUE"""),"ту 14-1-3573-83, 2гп УЗК, контроль Со")</f>
        <v>ту 14-1-3573-83, 2гп УЗК, контроль Со</v>
      </c>
      <c r="G158" s="125">
        <f ca="1">IFERROR(__xludf.DUMMYFUNCTION("""COMPUTED_VALUE"""),0.201999999999999)</f>
        <v>0.20199999999999901</v>
      </c>
      <c r="H158" s="125"/>
      <c r="I158" s="131">
        <f ca="1">IFERROR(__xludf.DUMMYFUNCTION("""COMPUTED_VALUE"""),870000)</f>
        <v>870000</v>
      </c>
    </row>
    <row r="159" spans="2:9" ht="15.75" x14ac:dyDescent="0.25">
      <c r="B159" s="123" t="str">
        <f ca="1">IFERROR(__xludf.DUMMYFUNCTION("""COMPUTED_VALUE"""),"круг")</f>
        <v>круг</v>
      </c>
      <c r="C159" s="133" t="str">
        <f ca="1">IFERROR(__xludf.DUMMYFUNCTION("""COMPUTED_VALUE"""),"07х16н4Б")</f>
        <v>07х16н4Б</v>
      </c>
      <c r="D159" s="124">
        <f ca="1">IFERROR(__xludf.DUMMYFUNCTION("""COMPUTED_VALUE"""),45)</f>
        <v>45</v>
      </c>
      <c r="E159" s="124"/>
      <c r="F159" s="112" t="str">
        <f ca="1">IFERROR(__xludf.DUMMYFUNCTION("""COMPUTED_VALUE"""),"ту 14-1-3573-83, 2гп УЗК, контроль Со")</f>
        <v>ту 14-1-3573-83, 2гп УЗК, контроль Со</v>
      </c>
      <c r="G159" s="125">
        <f ca="1">IFERROR(__xludf.DUMMYFUNCTION("""COMPUTED_VALUE"""),0.518)</f>
        <v>0.51800000000000002</v>
      </c>
      <c r="H159" s="125"/>
      <c r="I159" s="131">
        <f ca="1">IFERROR(__xludf.DUMMYFUNCTION("""COMPUTED_VALUE"""),870000)</f>
        <v>870000</v>
      </c>
    </row>
    <row r="160" spans="2:9" ht="15.75" x14ac:dyDescent="0.25">
      <c r="B160" s="123" t="str">
        <f ca="1">IFERROR(__xludf.DUMMYFUNCTION("""COMPUTED_VALUE"""),"круг")</f>
        <v>круг</v>
      </c>
      <c r="C160" s="133" t="str">
        <f ca="1">IFERROR(__xludf.DUMMYFUNCTION("""COMPUTED_VALUE"""),"07х16н4Б")</f>
        <v>07х16н4Б</v>
      </c>
      <c r="D160" s="124">
        <f ca="1">IFERROR(__xludf.DUMMYFUNCTION("""COMPUTED_VALUE"""),45)</f>
        <v>45</v>
      </c>
      <c r="E160" s="124"/>
      <c r="F160" s="112" t="str">
        <f ca="1">IFERROR(__xludf.DUMMYFUNCTION("""COMPUTED_VALUE"""),"ту 14-1-3573-83 , УЗК РТТ")</f>
        <v>ту 14-1-3573-83 , УЗК РТТ</v>
      </c>
      <c r="G160" s="125">
        <f ca="1">IFERROR(__xludf.DUMMYFUNCTION("""COMPUTED_VALUE"""),0.403)</f>
        <v>0.40300000000000002</v>
      </c>
      <c r="H160" s="125"/>
      <c r="I160" s="131">
        <f ca="1">IFERROR(__xludf.DUMMYFUNCTION("""COMPUTED_VALUE"""),500000)</f>
        <v>500000</v>
      </c>
    </row>
    <row r="161" spans="2:9" ht="15.75" x14ac:dyDescent="0.25">
      <c r="B161" s="123" t="str">
        <f ca="1">IFERROR(__xludf.DUMMYFUNCTION("""COMPUTED_VALUE"""),"круг")</f>
        <v>круг</v>
      </c>
      <c r="C161" s="133" t="str">
        <f ca="1">IFERROR(__xludf.DUMMYFUNCTION("""COMPUTED_VALUE"""),"07х16н4Б-Ш")</f>
        <v>07х16н4Б-Ш</v>
      </c>
      <c r="D161" s="124">
        <f ca="1">IFERROR(__xludf.DUMMYFUNCTION("""COMPUTED_VALUE"""),45)</f>
        <v>45</v>
      </c>
      <c r="E161" s="124"/>
      <c r="F161" s="112" t="str">
        <f ca="1">IFERROR(__xludf.DUMMYFUNCTION("""COMPUTED_VALUE"""),"ту 14-1-3573-83, УЗК РТТ")</f>
        <v>ту 14-1-3573-83, УЗК РТТ</v>
      </c>
      <c r="G161" s="125">
        <f ca="1">IFERROR(__xludf.DUMMYFUNCTION("""COMPUTED_VALUE"""),0.072)</f>
        <v>7.1999999999999995E-2</v>
      </c>
      <c r="H161" s="125"/>
      <c r="I161" s="131">
        <f ca="1">IFERROR(__xludf.DUMMYFUNCTION("""COMPUTED_VALUE"""),800000)</f>
        <v>800000</v>
      </c>
    </row>
    <row r="162" spans="2:9" ht="15.75" x14ac:dyDescent="0.25">
      <c r="B162" s="123" t="str">
        <f ca="1">IFERROR(__xludf.DUMMYFUNCTION("""COMPUTED_VALUE"""),"круг")</f>
        <v>круг</v>
      </c>
      <c r="C162" s="133" t="str">
        <f ca="1">IFERROR(__xludf.DUMMYFUNCTION("""COMPUTED_VALUE"""),"07х16н4Б")</f>
        <v>07х16н4Б</v>
      </c>
      <c r="D162" s="124">
        <f ca="1">IFERROR(__xludf.DUMMYFUNCTION("""COMPUTED_VALUE"""),50)</f>
        <v>50</v>
      </c>
      <c r="E162" s="124"/>
      <c r="F162" s="112" t="str">
        <f ca="1">IFERROR(__xludf.DUMMYFUNCTION("""COMPUTED_VALUE"""),"ту 14-1-3573-83, 2гп ")</f>
        <v xml:space="preserve">ту 14-1-3573-83, 2гп </v>
      </c>
      <c r="G162" s="125">
        <f ca="1">IFERROR(__xludf.DUMMYFUNCTION("""COMPUTED_VALUE"""),1.16)</f>
        <v>1.1599999999999999</v>
      </c>
      <c r="H162" s="125"/>
      <c r="I162" s="131">
        <f ca="1">IFERROR(__xludf.DUMMYFUNCTION("""COMPUTED_VALUE"""),840000)</f>
        <v>840000</v>
      </c>
    </row>
    <row r="163" spans="2:9" ht="15.75" x14ac:dyDescent="0.25">
      <c r="B163" s="123" t="str">
        <f ca="1">IFERROR(__xludf.DUMMYFUNCTION("""COMPUTED_VALUE"""),"круг")</f>
        <v>круг</v>
      </c>
      <c r="C163" s="133" t="str">
        <f ca="1">IFERROR(__xludf.DUMMYFUNCTION("""COMPUTED_VALUE"""),"07х16н4Б")</f>
        <v>07х16н4Б</v>
      </c>
      <c r="D163" s="124">
        <f ca="1">IFERROR(__xludf.DUMMYFUNCTION("""COMPUTED_VALUE"""),56)</f>
        <v>56</v>
      </c>
      <c r="E163" s="124"/>
      <c r="F163" s="112" t="str">
        <f ca="1">IFERROR(__xludf.DUMMYFUNCTION("""COMPUTED_VALUE"""),"ту 14-1-3573-83, 2гп РТТ")</f>
        <v>ту 14-1-3573-83, 2гп РТТ</v>
      </c>
      <c r="G163" s="125">
        <f ca="1">IFERROR(__xludf.DUMMYFUNCTION("""COMPUTED_VALUE"""),0.226999999999999)</f>
        <v>0.22699999999999901</v>
      </c>
      <c r="H163" s="125"/>
      <c r="I163" s="131">
        <f ca="1">IFERROR(__xludf.DUMMYFUNCTION("""COMPUTED_VALUE"""),850000)</f>
        <v>850000</v>
      </c>
    </row>
    <row r="164" spans="2:9" ht="15.75" x14ac:dyDescent="0.25">
      <c r="B164" s="123" t="str">
        <f ca="1">IFERROR(__xludf.DUMMYFUNCTION("""COMPUTED_VALUE"""),"круг")</f>
        <v>круг</v>
      </c>
      <c r="C164" s="133" t="str">
        <f ca="1">IFERROR(__xludf.DUMMYFUNCTION("""COMPUTED_VALUE"""),"07х16н4Б")</f>
        <v>07х16н4Б</v>
      </c>
      <c r="D164" s="124">
        <f ca="1">IFERROR(__xludf.DUMMYFUNCTION("""COMPUTED_VALUE"""),56)</f>
        <v>56</v>
      </c>
      <c r="E164" s="124"/>
      <c r="F164" s="112" t="str">
        <f ca="1">IFERROR(__xludf.DUMMYFUNCTION("""COMPUTED_VALUE"""),"ту 14-1-3573-83, 2гп РТТ")</f>
        <v>ту 14-1-3573-83, 2гп РТТ</v>
      </c>
      <c r="G164" s="125">
        <f ca="1">IFERROR(__xludf.DUMMYFUNCTION("""COMPUTED_VALUE"""),0.825)</f>
        <v>0.82499999999999996</v>
      </c>
      <c r="H164" s="125"/>
      <c r="I164" s="131">
        <f ca="1">IFERROR(__xludf.DUMMYFUNCTION("""COMPUTED_VALUE"""),850000)</f>
        <v>850000</v>
      </c>
    </row>
    <row r="165" spans="2:9" ht="15.75" x14ac:dyDescent="0.25">
      <c r="B165" s="123" t="str">
        <f ca="1">IFERROR(__xludf.DUMMYFUNCTION("""COMPUTED_VALUE"""),"круг")</f>
        <v>круг</v>
      </c>
      <c r="C165" s="133" t="str">
        <f ca="1">IFERROR(__xludf.DUMMYFUNCTION("""COMPUTED_VALUE"""),"07х16н4Б")</f>
        <v>07х16н4Б</v>
      </c>
      <c r="D165" s="124">
        <f ca="1">IFERROR(__xludf.DUMMYFUNCTION("""COMPUTED_VALUE"""),56)</f>
        <v>56</v>
      </c>
      <c r="E165" s="124"/>
      <c r="F165" s="112" t="str">
        <f ca="1">IFERROR(__xludf.DUMMYFUNCTION("""COMPUTED_VALUE"""),"ту 14-1-3573-83, 2гп РТТ")</f>
        <v>ту 14-1-3573-83, 2гп РТТ</v>
      </c>
      <c r="G165" s="125">
        <f ca="1">IFERROR(__xludf.DUMMYFUNCTION("""COMPUTED_VALUE"""),0.585)</f>
        <v>0.58499999999999996</v>
      </c>
      <c r="H165" s="125"/>
      <c r="I165" s="131">
        <f ca="1">IFERROR(__xludf.DUMMYFUNCTION("""COMPUTED_VALUE"""),850000)</f>
        <v>850000</v>
      </c>
    </row>
    <row r="166" spans="2:9" ht="15.75" x14ac:dyDescent="0.25">
      <c r="B166" s="123" t="str">
        <f ca="1">IFERROR(__xludf.DUMMYFUNCTION("""COMPUTED_VALUE"""),"круг")</f>
        <v>круг</v>
      </c>
      <c r="C166" s="133" t="str">
        <f ca="1">IFERROR(__xludf.DUMMYFUNCTION("""COMPUTED_VALUE"""),"07х16н4Б")</f>
        <v>07х16н4Б</v>
      </c>
      <c r="D166" s="124">
        <f ca="1">IFERROR(__xludf.DUMMYFUNCTION("""COMPUTED_VALUE"""),60)</f>
        <v>60</v>
      </c>
      <c r="E166" s="124"/>
      <c r="F166" s="112" t="str">
        <f ca="1">IFERROR(__xludf.DUMMYFUNCTION("""COMPUTED_VALUE"""),"ту 14-1-3573-83, 2гп УЗК, контроль Со")</f>
        <v>ту 14-1-3573-83, 2гп УЗК, контроль Со</v>
      </c>
      <c r="G166" s="125">
        <f ca="1">IFERROR(__xludf.DUMMYFUNCTION("""COMPUTED_VALUE"""),0.09)</f>
        <v>0.09</v>
      </c>
      <c r="H166" s="125"/>
      <c r="I166" s="131">
        <f ca="1">IFERROR(__xludf.DUMMYFUNCTION("""COMPUTED_VALUE"""),860000)</f>
        <v>860000</v>
      </c>
    </row>
    <row r="167" spans="2:9" ht="15.75" x14ac:dyDescent="0.25">
      <c r="B167" s="123" t="str">
        <f ca="1">IFERROR(__xludf.DUMMYFUNCTION("""COMPUTED_VALUE"""),"круг")</f>
        <v>круг</v>
      </c>
      <c r="C167" s="133" t="str">
        <f ca="1">IFERROR(__xludf.DUMMYFUNCTION("""COMPUTED_VALUE"""),"07х16н4Б")</f>
        <v>07х16н4Б</v>
      </c>
      <c r="D167" s="124">
        <f ca="1">IFERROR(__xludf.DUMMYFUNCTION("""COMPUTED_VALUE"""),60)</f>
        <v>60</v>
      </c>
      <c r="E167" s="124"/>
      <c r="F167" s="112" t="str">
        <f ca="1">IFERROR(__xludf.DUMMYFUNCTION("""COMPUTED_VALUE"""),"ту 14-1-3573-83, 2гп УЗК, контроль Со")</f>
        <v>ту 14-1-3573-83, 2гп УЗК, контроль Со</v>
      </c>
      <c r="G167" s="125">
        <f ca="1">IFERROR(__xludf.DUMMYFUNCTION("""COMPUTED_VALUE"""),0.796999999999999)</f>
        <v>0.79699999999999904</v>
      </c>
      <c r="H167" s="125"/>
      <c r="I167" s="131">
        <f ca="1">IFERROR(__xludf.DUMMYFUNCTION("""COMPUTED_VALUE"""),860000)</f>
        <v>860000</v>
      </c>
    </row>
    <row r="168" spans="2:9" ht="15.75" x14ac:dyDescent="0.25">
      <c r="B168" s="123" t="str">
        <f ca="1">IFERROR(__xludf.DUMMYFUNCTION("""COMPUTED_VALUE"""),"круг")</f>
        <v>круг</v>
      </c>
      <c r="C168" s="133" t="str">
        <f ca="1">IFERROR(__xludf.DUMMYFUNCTION("""COMPUTED_VALUE"""),"07х16н4Б")</f>
        <v>07х16н4Б</v>
      </c>
      <c r="D168" s="124">
        <f ca="1">IFERROR(__xludf.DUMMYFUNCTION("""COMPUTED_VALUE"""),65)</f>
        <v>65</v>
      </c>
      <c r="E168" s="124"/>
      <c r="F168" s="112" t="str">
        <f ca="1">IFERROR(__xludf.DUMMYFUNCTION("""COMPUTED_VALUE"""),"ту 14-1-3573-83, 2гп УЗК, контроль Со")</f>
        <v>ту 14-1-3573-83, 2гп УЗК, контроль Со</v>
      </c>
      <c r="G168" s="125">
        <f ca="1">IFERROR(__xludf.DUMMYFUNCTION("""COMPUTED_VALUE"""),0.129999999999999)</f>
        <v>0.12999999999999901</v>
      </c>
      <c r="H168" s="125"/>
      <c r="I168" s="131">
        <f ca="1">IFERROR(__xludf.DUMMYFUNCTION("""COMPUTED_VALUE"""),860000)</f>
        <v>860000</v>
      </c>
    </row>
    <row r="169" spans="2:9" ht="15.75" x14ac:dyDescent="0.25">
      <c r="B169" s="123" t="str">
        <f ca="1">IFERROR(__xludf.DUMMYFUNCTION("""COMPUTED_VALUE"""),"круг")</f>
        <v>круг</v>
      </c>
      <c r="C169" s="133" t="str">
        <f ca="1">IFERROR(__xludf.DUMMYFUNCTION("""COMPUTED_VALUE"""),"07х16н4Б")</f>
        <v>07х16н4Б</v>
      </c>
      <c r="D169" s="124">
        <f ca="1">IFERROR(__xludf.DUMMYFUNCTION("""COMPUTED_VALUE"""),65)</f>
        <v>65</v>
      </c>
      <c r="E169" s="124"/>
      <c r="F169" s="112" t="str">
        <f ca="1">IFERROR(__xludf.DUMMYFUNCTION("""COMPUTED_VALUE"""),"ту 14-1-3573-83, 2гп УЗК, контроль Со")</f>
        <v>ту 14-1-3573-83, 2гп УЗК, контроль Со</v>
      </c>
      <c r="G169" s="125">
        <f ca="1">IFERROR(__xludf.DUMMYFUNCTION("""COMPUTED_VALUE"""),0.425)</f>
        <v>0.42499999999999999</v>
      </c>
      <c r="H169" s="125"/>
      <c r="I169" s="131">
        <f ca="1">IFERROR(__xludf.DUMMYFUNCTION("""COMPUTED_VALUE"""),860000)</f>
        <v>860000</v>
      </c>
    </row>
    <row r="170" spans="2:9" ht="15.75" x14ac:dyDescent="0.25">
      <c r="B170" s="123" t="str">
        <f ca="1">IFERROR(__xludf.DUMMYFUNCTION("""COMPUTED_VALUE"""),"круг")</f>
        <v>круг</v>
      </c>
      <c r="C170" s="133" t="str">
        <f ca="1">IFERROR(__xludf.DUMMYFUNCTION("""COMPUTED_VALUE"""),"07х16н4Б-Ш")</f>
        <v>07х16н4Б-Ш</v>
      </c>
      <c r="D170" s="124">
        <f ca="1">IFERROR(__xludf.DUMMYFUNCTION("""COMPUTED_VALUE"""),65)</f>
        <v>65</v>
      </c>
      <c r="E170" s="124"/>
      <c r="F170" s="112" t="str">
        <f ca="1">IFERROR(__xludf.DUMMYFUNCTION("""COMPUTED_VALUE"""),"ту 14-1-3573-83, 2гп , УЗК РТТ")</f>
        <v>ту 14-1-3573-83, 2гп , УЗК РТТ</v>
      </c>
      <c r="G170" s="125">
        <f ca="1">IFERROR(__xludf.DUMMYFUNCTION("""COMPUTED_VALUE"""),2.034)</f>
        <v>2.0339999999999998</v>
      </c>
      <c r="H170" s="125"/>
      <c r="I170" s="131">
        <f ca="1">IFERROR(__xludf.DUMMYFUNCTION("""COMPUTED_VALUE"""),800000)</f>
        <v>800000</v>
      </c>
    </row>
    <row r="171" spans="2:9" ht="15.75" x14ac:dyDescent="0.25">
      <c r="B171" s="123" t="str">
        <f ca="1">IFERROR(__xludf.DUMMYFUNCTION("""COMPUTED_VALUE"""),"круг")</f>
        <v>круг</v>
      </c>
      <c r="C171" s="133" t="str">
        <f ca="1">IFERROR(__xludf.DUMMYFUNCTION("""COMPUTED_VALUE"""),"07х16н4Б")</f>
        <v>07х16н4Б</v>
      </c>
      <c r="D171" s="124">
        <f ca="1">IFERROR(__xludf.DUMMYFUNCTION("""COMPUTED_VALUE"""),70)</f>
        <v>70</v>
      </c>
      <c r="E171" s="124"/>
      <c r="F171" s="112" t="str">
        <f ca="1">IFERROR(__xludf.DUMMYFUNCTION("""COMPUTED_VALUE"""),"ту 14-1-3573-83, 2гп УЗК, контроль Со")</f>
        <v>ту 14-1-3573-83, 2гп УЗК, контроль Со</v>
      </c>
      <c r="G171" s="125">
        <f ca="1">IFERROR(__xludf.DUMMYFUNCTION("""COMPUTED_VALUE"""),0.256)</f>
        <v>0.25600000000000001</v>
      </c>
      <c r="H171" s="125"/>
      <c r="I171" s="131">
        <f ca="1">IFERROR(__xludf.DUMMYFUNCTION("""COMPUTED_VALUE"""),840000)</f>
        <v>840000</v>
      </c>
    </row>
    <row r="172" spans="2:9" ht="15.75" x14ac:dyDescent="0.25">
      <c r="B172" s="123" t="str">
        <f ca="1">IFERROR(__xludf.DUMMYFUNCTION("""COMPUTED_VALUE"""),"круг")</f>
        <v>круг</v>
      </c>
      <c r="C172" s="133" t="str">
        <f ca="1">IFERROR(__xludf.DUMMYFUNCTION("""COMPUTED_VALUE"""),"07х16н4Б")</f>
        <v>07х16н4Б</v>
      </c>
      <c r="D172" s="124">
        <f ca="1">IFERROR(__xludf.DUMMYFUNCTION("""COMPUTED_VALUE"""),70)</f>
        <v>70</v>
      </c>
      <c r="E172" s="124"/>
      <c r="F172" s="112" t="str">
        <f ca="1">IFERROR(__xludf.DUMMYFUNCTION("""COMPUTED_VALUE"""),"ту 14-1-3573-83, 2гп УЗК, контроль Со")</f>
        <v>ту 14-1-3573-83, 2гп УЗК, контроль Со</v>
      </c>
      <c r="G172" s="125">
        <f ca="1">IFERROR(__xludf.DUMMYFUNCTION("""COMPUTED_VALUE"""),0.96)</f>
        <v>0.96</v>
      </c>
      <c r="H172" s="125"/>
      <c r="I172" s="131">
        <f ca="1">IFERROR(__xludf.DUMMYFUNCTION("""COMPUTED_VALUE"""),840000)</f>
        <v>840000</v>
      </c>
    </row>
    <row r="173" spans="2:9" ht="15.75" x14ac:dyDescent="0.25">
      <c r="B173" s="123" t="str">
        <f ca="1">IFERROR(__xludf.DUMMYFUNCTION("""COMPUTED_VALUE"""),"круг")</f>
        <v>круг</v>
      </c>
      <c r="C173" s="133" t="str">
        <f ca="1">IFERROR(__xludf.DUMMYFUNCTION("""COMPUTED_VALUE"""),"07х16н4Б")</f>
        <v>07х16н4Б</v>
      </c>
      <c r="D173" s="124">
        <f ca="1">IFERROR(__xludf.DUMMYFUNCTION("""COMPUTED_VALUE"""),70)</f>
        <v>70</v>
      </c>
      <c r="E173" s="124"/>
      <c r="F173" s="112" t="str">
        <f ca="1">IFERROR(__xludf.DUMMYFUNCTION("""COMPUTED_VALUE"""),"ту 14-1-3573-83, 2гп УЗК, контроль Со")</f>
        <v>ту 14-1-3573-83, 2гп УЗК, контроль Со</v>
      </c>
      <c r="G173" s="125">
        <f ca="1">IFERROR(__xludf.DUMMYFUNCTION("""COMPUTED_VALUE"""),0.63)</f>
        <v>0.63</v>
      </c>
      <c r="H173" s="125"/>
      <c r="I173" s="131">
        <f ca="1">IFERROR(__xludf.DUMMYFUNCTION("""COMPUTED_VALUE"""),840000)</f>
        <v>840000</v>
      </c>
    </row>
    <row r="174" spans="2:9" ht="15.75" x14ac:dyDescent="0.25">
      <c r="B174" s="123" t="str">
        <f ca="1">IFERROR(__xludf.DUMMYFUNCTION("""COMPUTED_VALUE"""),"круг")</f>
        <v>круг</v>
      </c>
      <c r="C174" s="133" t="str">
        <f ca="1">IFERROR(__xludf.DUMMYFUNCTION("""COMPUTED_VALUE"""),"07х16н4Б")</f>
        <v>07х16н4Б</v>
      </c>
      <c r="D174" s="124">
        <f ca="1">IFERROR(__xludf.DUMMYFUNCTION("""COMPUTED_VALUE"""),70)</f>
        <v>70</v>
      </c>
      <c r="E174" s="124"/>
      <c r="F174" s="112" t="str">
        <f ca="1">IFERROR(__xludf.DUMMYFUNCTION("""COMPUTED_VALUE"""),"ту 14-1-3573-83, 2гп УЗК, контроль Со")</f>
        <v>ту 14-1-3573-83, 2гп УЗК, контроль Со</v>
      </c>
      <c r="G174" s="125">
        <f ca="1">IFERROR(__xludf.DUMMYFUNCTION("""COMPUTED_VALUE"""),0.195)</f>
        <v>0.19500000000000001</v>
      </c>
      <c r="H174" s="125"/>
      <c r="I174" s="131">
        <f ca="1">IFERROR(__xludf.DUMMYFUNCTION("""COMPUTED_VALUE"""),840000)</f>
        <v>840000</v>
      </c>
    </row>
    <row r="175" spans="2:9" ht="15.75" x14ac:dyDescent="0.25">
      <c r="B175" s="123" t="str">
        <f ca="1">IFERROR(__xludf.DUMMYFUNCTION("""COMPUTED_VALUE"""),"круг")</f>
        <v>круг</v>
      </c>
      <c r="C175" s="133" t="str">
        <f ca="1">IFERROR(__xludf.DUMMYFUNCTION("""COMPUTED_VALUE"""),"07х16н4Б")</f>
        <v>07х16н4Б</v>
      </c>
      <c r="D175" s="124">
        <f ca="1">IFERROR(__xludf.DUMMYFUNCTION("""COMPUTED_VALUE"""),70)</f>
        <v>70</v>
      </c>
      <c r="E175" s="124"/>
      <c r="F175" s="112" t="str">
        <f ca="1">IFERROR(__xludf.DUMMYFUNCTION("""COMPUTED_VALUE"""),"ту 14-1-3573-83, 2гп УЗК, контроль Со")</f>
        <v>ту 14-1-3573-83, 2гп УЗК, контроль Со</v>
      </c>
      <c r="G175" s="125">
        <f ca="1">IFERROR(__xludf.DUMMYFUNCTION("""COMPUTED_VALUE"""),0.25)</f>
        <v>0.25</v>
      </c>
      <c r="H175" s="125"/>
      <c r="I175" s="131">
        <f ca="1">IFERROR(__xludf.DUMMYFUNCTION("""COMPUTED_VALUE"""),840000)</f>
        <v>840000</v>
      </c>
    </row>
    <row r="176" spans="2:9" ht="15.75" x14ac:dyDescent="0.25">
      <c r="B176" s="123" t="str">
        <f ca="1">IFERROR(__xludf.DUMMYFUNCTION("""COMPUTED_VALUE"""),"круг")</f>
        <v>круг</v>
      </c>
      <c r="C176" s="133" t="str">
        <f ca="1">IFERROR(__xludf.DUMMYFUNCTION("""COMPUTED_VALUE"""),"07х16н4Б")</f>
        <v>07х16н4Б</v>
      </c>
      <c r="D176" s="124">
        <f ca="1">IFERROR(__xludf.DUMMYFUNCTION("""COMPUTED_VALUE"""),70)</f>
        <v>70</v>
      </c>
      <c r="E176" s="124"/>
      <c r="F176" s="112" t="str">
        <f ca="1">IFERROR(__xludf.DUMMYFUNCTION("""COMPUTED_VALUE"""),"ту 14-1-3573-83, 2гп УЗК, контроль Со")</f>
        <v>ту 14-1-3573-83, 2гп УЗК, контроль Со</v>
      </c>
      <c r="G176" s="125">
        <f ca="1">IFERROR(__xludf.DUMMYFUNCTION("""COMPUTED_VALUE"""),0.29)</f>
        <v>0.28999999999999998</v>
      </c>
      <c r="H176" s="125"/>
      <c r="I176" s="131">
        <f ca="1">IFERROR(__xludf.DUMMYFUNCTION("""COMPUTED_VALUE"""),840000)</f>
        <v>840000</v>
      </c>
    </row>
    <row r="177" spans="2:9" ht="15.75" x14ac:dyDescent="0.25">
      <c r="B177" s="123" t="str">
        <f ca="1">IFERROR(__xludf.DUMMYFUNCTION("""COMPUTED_VALUE"""),"круг")</f>
        <v>круг</v>
      </c>
      <c r="C177" s="133" t="str">
        <f ca="1">IFERROR(__xludf.DUMMYFUNCTION("""COMPUTED_VALUE"""),"07х16н4Б")</f>
        <v>07х16н4Б</v>
      </c>
      <c r="D177" s="124">
        <f ca="1">IFERROR(__xludf.DUMMYFUNCTION("""COMPUTED_VALUE"""),75)</f>
        <v>75</v>
      </c>
      <c r="E177" s="124"/>
      <c r="F177" s="112" t="str">
        <f ca="1">IFERROR(__xludf.DUMMYFUNCTION("""COMPUTED_VALUE"""),"ту 14-1-3573-83, АТП , УЗК, 2гп ")</f>
        <v xml:space="preserve">ту 14-1-3573-83, АТП , УЗК, 2гп </v>
      </c>
      <c r="G177" s="125">
        <f ca="1">IFERROR(__xludf.DUMMYFUNCTION("""COMPUTED_VALUE"""),0.303)</f>
        <v>0.30299999999999999</v>
      </c>
      <c r="H177" s="125"/>
      <c r="I177" s="131">
        <f ca="1">IFERROR(__xludf.DUMMYFUNCTION("""COMPUTED_VALUE"""),870000)</f>
        <v>870000</v>
      </c>
    </row>
    <row r="178" spans="2:9" ht="15.75" x14ac:dyDescent="0.25">
      <c r="B178" s="123" t="str">
        <f ca="1">IFERROR(__xludf.DUMMYFUNCTION("""COMPUTED_VALUE"""),"круг")</f>
        <v>круг</v>
      </c>
      <c r="C178" s="133" t="str">
        <f ca="1">IFERROR(__xludf.DUMMYFUNCTION("""COMPUTED_VALUE"""),"07х16н4Б-Ш")</f>
        <v>07х16н4Б-Ш</v>
      </c>
      <c r="D178" s="124">
        <f ca="1">IFERROR(__xludf.DUMMYFUNCTION("""COMPUTED_VALUE"""),78)</f>
        <v>78</v>
      </c>
      <c r="E178" s="124"/>
      <c r="F178" s="112" t="str">
        <f ca="1">IFERROR(__xludf.DUMMYFUNCTION("""COMPUTED_VALUE"""),"ту 14-1-3573-83, УЗК РТТ")</f>
        <v>ту 14-1-3573-83, УЗК РТТ</v>
      </c>
      <c r="G178" s="125">
        <f ca="1">IFERROR(__xludf.DUMMYFUNCTION("""COMPUTED_VALUE"""),1.88499999999999)</f>
        <v>1.88499999999999</v>
      </c>
      <c r="H178" s="125"/>
      <c r="I178" s="131">
        <f ca="1">IFERROR(__xludf.DUMMYFUNCTION("""COMPUTED_VALUE"""),800000)</f>
        <v>800000</v>
      </c>
    </row>
    <row r="179" spans="2:9" ht="15.75" x14ac:dyDescent="0.25">
      <c r="B179" s="123" t="str">
        <f ca="1">IFERROR(__xludf.DUMMYFUNCTION("""COMPUTED_VALUE"""),"круг")</f>
        <v>круг</v>
      </c>
      <c r="C179" s="133" t="str">
        <f ca="1">IFERROR(__xludf.DUMMYFUNCTION("""COMPUTED_VALUE"""),"07х16н4Б")</f>
        <v>07х16н4Б</v>
      </c>
      <c r="D179" s="124">
        <f ca="1">IFERROR(__xludf.DUMMYFUNCTION("""COMPUTED_VALUE"""),80)</f>
        <v>80</v>
      </c>
      <c r="E179" s="124"/>
      <c r="F179" s="112" t="str">
        <f ca="1">IFERROR(__xludf.DUMMYFUNCTION("""COMPUTED_VALUE"""),"ту 14-1-3573-83, 2гп без РТТ")</f>
        <v>ту 14-1-3573-83, 2гп без РТТ</v>
      </c>
      <c r="G179" s="125">
        <f ca="1">IFERROR(__xludf.DUMMYFUNCTION("""COMPUTED_VALUE"""),0.049)</f>
        <v>4.9000000000000002E-2</v>
      </c>
      <c r="H179" s="125"/>
      <c r="I179" s="131">
        <f ca="1">IFERROR(__xludf.DUMMYFUNCTION("""COMPUTED_VALUE"""),840000)</f>
        <v>840000</v>
      </c>
    </row>
    <row r="180" spans="2:9" ht="15.75" x14ac:dyDescent="0.25">
      <c r="B180" s="123" t="str">
        <f ca="1">IFERROR(__xludf.DUMMYFUNCTION("""COMPUTED_VALUE"""),"круг")</f>
        <v>круг</v>
      </c>
      <c r="C180" s="133" t="str">
        <f ca="1">IFERROR(__xludf.DUMMYFUNCTION("""COMPUTED_VALUE"""),"07х16н4Б")</f>
        <v>07х16н4Б</v>
      </c>
      <c r="D180" s="124">
        <f ca="1">IFERROR(__xludf.DUMMYFUNCTION("""COMPUTED_VALUE"""),80)</f>
        <v>80</v>
      </c>
      <c r="E180" s="124"/>
      <c r="F180" s="112" t="str">
        <f ca="1">IFERROR(__xludf.DUMMYFUNCTION("""COMPUTED_VALUE"""),"ту 14-1-3573-83, 2гп РТТ")</f>
        <v>ту 14-1-3573-83, 2гп РТТ</v>
      </c>
      <c r="G180" s="125">
        <f ca="1">IFERROR(__xludf.DUMMYFUNCTION("""COMPUTED_VALUE"""),0.21)</f>
        <v>0.21</v>
      </c>
      <c r="H180" s="125"/>
      <c r="I180" s="131">
        <f ca="1">IFERROR(__xludf.DUMMYFUNCTION("""COMPUTED_VALUE"""),850000)</f>
        <v>850000</v>
      </c>
    </row>
    <row r="181" spans="2:9" ht="15.75" x14ac:dyDescent="0.25">
      <c r="B181" s="123" t="str">
        <f ca="1">IFERROR(__xludf.DUMMYFUNCTION("""COMPUTED_VALUE"""),"круг")</f>
        <v>круг</v>
      </c>
      <c r="C181" s="133" t="str">
        <f ca="1">IFERROR(__xludf.DUMMYFUNCTION("""COMPUTED_VALUE"""),"07х16н4Б")</f>
        <v>07х16н4Б</v>
      </c>
      <c r="D181" s="124">
        <f ca="1">IFERROR(__xludf.DUMMYFUNCTION("""COMPUTED_VALUE"""),80)</f>
        <v>80</v>
      </c>
      <c r="E181" s="124"/>
      <c r="F181" s="112" t="str">
        <f ca="1">IFERROR(__xludf.DUMMYFUNCTION("""COMPUTED_VALUE"""),"ту 14-1-3573-83, 2гп РТТ")</f>
        <v>ту 14-1-3573-83, 2гп РТТ</v>
      </c>
      <c r="G181" s="125">
        <f ca="1">IFERROR(__xludf.DUMMYFUNCTION("""COMPUTED_VALUE"""),1.46)</f>
        <v>1.46</v>
      </c>
      <c r="H181" s="125"/>
      <c r="I181" s="131">
        <f ca="1">IFERROR(__xludf.DUMMYFUNCTION("""COMPUTED_VALUE"""),850000)</f>
        <v>850000</v>
      </c>
    </row>
    <row r="182" spans="2:9" ht="15.75" x14ac:dyDescent="0.25">
      <c r="B182" s="123" t="str">
        <f ca="1">IFERROR(__xludf.DUMMYFUNCTION("""COMPUTED_VALUE"""),"круг")</f>
        <v>круг</v>
      </c>
      <c r="C182" s="133" t="str">
        <f ca="1">IFERROR(__xludf.DUMMYFUNCTION("""COMPUTED_VALUE"""),"07х16н4Б")</f>
        <v>07х16н4Б</v>
      </c>
      <c r="D182" s="124">
        <f ca="1">IFERROR(__xludf.DUMMYFUNCTION("""COMPUTED_VALUE"""),80)</f>
        <v>80</v>
      </c>
      <c r="E182" s="124"/>
      <c r="F182" s="112" t="str">
        <f ca="1">IFERROR(__xludf.DUMMYFUNCTION("""COMPUTED_VALUE"""),"ту 14-1-3573-83, 2гп РТТ")</f>
        <v>ту 14-1-3573-83, 2гп РТТ</v>
      </c>
      <c r="G182" s="125">
        <f ca="1">IFERROR(__xludf.DUMMYFUNCTION("""COMPUTED_VALUE"""),0.355)</f>
        <v>0.35499999999999998</v>
      </c>
      <c r="H182" s="125"/>
      <c r="I182" s="131">
        <f ca="1">IFERROR(__xludf.DUMMYFUNCTION("""COMPUTED_VALUE"""),850000)</f>
        <v>850000</v>
      </c>
    </row>
    <row r="183" spans="2:9" ht="15.75" x14ac:dyDescent="0.25">
      <c r="B183" s="123" t="str">
        <f ca="1">IFERROR(__xludf.DUMMYFUNCTION("""COMPUTED_VALUE"""),"круг")</f>
        <v>круг</v>
      </c>
      <c r="C183" s="133" t="str">
        <f ca="1">IFERROR(__xludf.DUMMYFUNCTION("""COMPUTED_VALUE"""),"07х16н4Б")</f>
        <v>07х16н4Б</v>
      </c>
      <c r="D183" s="124">
        <f ca="1">IFERROR(__xludf.DUMMYFUNCTION("""COMPUTED_VALUE"""),85)</f>
        <v>85</v>
      </c>
      <c r="E183" s="124"/>
      <c r="F183" s="112" t="str">
        <f ca="1">IFERROR(__xludf.DUMMYFUNCTION("""COMPUTED_VALUE"""),"ту 14-1-3573-83, 2гп ")</f>
        <v xml:space="preserve">ту 14-1-3573-83, 2гп </v>
      </c>
      <c r="G183" s="125">
        <f ca="1">IFERROR(__xludf.DUMMYFUNCTION("""COMPUTED_VALUE"""),1.403)</f>
        <v>1.403</v>
      </c>
      <c r="H183" s="125"/>
      <c r="I183" s="131">
        <f ca="1">IFERROR(__xludf.DUMMYFUNCTION("""COMPUTED_VALUE"""),840000)</f>
        <v>840000</v>
      </c>
    </row>
    <row r="184" spans="2:9" ht="15.75" x14ac:dyDescent="0.25">
      <c r="B184" s="123" t="str">
        <f ca="1">IFERROR(__xludf.DUMMYFUNCTION("""COMPUTED_VALUE"""),"круг")</f>
        <v>круг</v>
      </c>
      <c r="C184" s="133" t="str">
        <f ca="1">IFERROR(__xludf.DUMMYFUNCTION("""COMPUTED_VALUE"""),"07х16н4Б")</f>
        <v>07х16н4Б</v>
      </c>
      <c r="D184" s="124">
        <f ca="1">IFERROR(__xludf.DUMMYFUNCTION("""COMPUTED_VALUE"""),90)</f>
        <v>90</v>
      </c>
      <c r="E184" s="124"/>
      <c r="F184" s="112" t="str">
        <f ca="1">IFERROR(__xludf.DUMMYFUNCTION("""COMPUTED_VALUE"""),"ту 14-1-3573-83, 2гп РТТ")</f>
        <v>ту 14-1-3573-83, 2гп РТТ</v>
      </c>
      <c r="G184" s="125">
        <f ca="1">IFERROR(__xludf.DUMMYFUNCTION("""COMPUTED_VALUE"""),0.974999999999999)</f>
        <v>0.97499999999999898</v>
      </c>
      <c r="H184" s="125"/>
      <c r="I184" s="131">
        <f ca="1">IFERROR(__xludf.DUMMYFUNCTION("""COMPUTED_VALUE"""),850000)</f>
        <v>850000</v>
      </c>
    </row>
    <row r="185" spans="2:9" ht="15.75" x14ac:dyDescent="0.25">
      <c r="B185" s="123" t="str">
        <f ca="1">IFERROR(__xludf.DUMMYFUNCTION("""COMPUTED_VALUE"""),"круг")</f>
        <v>круг</v>
      </c>
      <c r="C185" s="133" t="str">
        <f ca="1">IFERROR(__xludf.DUMMYFUNCTION("""COMPUTED_VALUE"""),"07х16н4Б")</f>
        <v>07х16н4Б</v>
      </c>
      <c r="D185" s="124">
        <f ca="1">IFERROR(__xludf.DUMMYFUNCTION("""COMPUTED_VALUE"""),90)</f>
        <v>90</v>
      </c>
      <c r="E185" s="124"/>
      <c r="F185" s="112" t="str">
        <f ca="1">IFERROR(__xludf.DUMMYFUNCTION("""COMPUTED_VALUE"""),"ту 14-1-3573-83, 2гп УЗК, контроль Со")</f>
        <v>ту 14-1-3573-83, 2гп УЗК, контроль Со</v>
      </c>
      <c r="G185" s="125">
        <f ca="1">IFERROR(__xludf.DUMMYFUNCTION("""COMPUTED_VALUE"""),1.33)</f>
        <v>1.33</v>
      </c>
      <c r="H185" s="125"/>
      <c r="I185" s="131">
        <f ca="1">IFERROR(__xludf.DUMMYFUNCTION("""COMPUTED_VALUE"""),840000)</f>
        <v>840000</v>
      </c>
    </row>
    <row r="186" spans="2:9" ht="15.75" x14ac:dyDescent="0.25">
      <c r="B186" s="123" t="str">
        <f ca="1">IFERROR(__xludf.DUMMYFUNCTION("""COMPUTED_VALUE"""),"круг")</f>
        <v>круг</v>
      </c>
      <c r="C186" s="133" t="str">
        <f ca="1">IFERROR(__xludf.DUMMYFUNCTION("""COMPUTED_VALUE"""),"07х16н4Б")</f>
        <v>07х16н4Б</v>
      </c>
      <c r="D186" s="124">
        <f ca="1">IFERROR(__xludf.DUMMYFUNCTION("""COMPUTED_VALUE"""),100)</f>
        <v>100</v>
      </c>
      <c r="E186" s="124"/>
      <c r="F186" s="112" t="str">
        <f ca="1">IFERROR(__xludf.DUMMYFUNCTION("""COMPUTED_VALUE"""),"ту 14-1-3573-83, 2гп УЗК, контроль Со")</f>
        <v>ту 14-1-3573-83, 2гп УЗК, контроль Со</v>
      </c>
      <c r="G186" s="125">
        <f ca="1">IFERROR(__xludf.DUMMYFUNCTION("""COMPUTED_VALUE"""),0.0599999999999999)</f>
        <v>5.9999999999999901E-2</v>
      </c>
      <c r="H186" s="125"/>
      <c r="I186" s="131">
        <f ca="1">IFERROR(__xludf.DUMMYFUNCTION("""COMPUTED_VALUE"""),840000)</f>
        <v>840000</v>
      </c>
    </row>
    <row r="187" spans="2:9" ht="15.75" x14ac:dyDescent="0.25">
      <c r="B187" s="123" t="str">
        <f ca="1">IFERROR(__xludf.DUMMYFUNCTION("""COMPUTED_VALUE"""),"круг")</f>
        <v>круг</v>
      </c>
      <c r="C187" s="133" t="str">
        <f ca="1">IFERROR(__xludf.DUMMYFUNCTION("""COMPUTED_VALUE"""),"07х16н4Б")</f>
        <v>07х16н4Б</v>
      </c>
      <c r="D187" s="124">
        <f ca="1">IFERROR(__xludf.DUMMYFUNCTION("""COMPUTED_VALUE"""),120)</f>
        <v>120</v>
      </c>
      <c r="E187" s="124"/>
      <c r="F187" s="112" t="str">
        <f ca="1">IFERROR(__xludf.DUMMYFUNCTION("""COMPUTED_VALUE"""),"ту 14-1-3573-83, 2гп ")</f>
        <v xml:space="preserve">ту 14-1-3573-83, 2гп </v>
      </c>
      <c r="G187" s="125">
        <f ca="1">IFERROR(__xludf.DUMMYFUNCTION("""COMPUTED_VALUE"""),2.94699999999999)</f>
        <v>2.9469999999999898</v>
      </c>
      <c r="H187" s="125"/>
      <c r="I187" s="131">
        <f ca="1">IFERROR(__xludf.DUMMYFUNCTION("""COMPUTED_VALUE"""),840000)</f>
        <v>840000</v>
      </c>
    </row>
    <row r="188" spans="2:9" ht="15.75" x14ac:dyDescent="0.25">
      <c r="B188" s="123" t="str">
        <f ca="1">IFERROR(__xludf.DUMMYFUNCTION("""COMPUTED_VALUE"""),"круг")</f>
        <v>круг</v>
      </c>
      <c r="C188" s="133" t="str">
        <f ca="1">IFERROR(__xludf.DUMMYFUNCTION("""COMPUTED_VALUE"""),"07х16н4Б-Ш")</f>
        <v>07х16н4Б-Ш</v>
      </c>
      <c r="D188" s="124">
        <f ca="1">IFERROR(__xludf.DUMMYFUNCTION("""COMPUTED_VALUE"""),120)</f>
        <v>120</v>
      </c>
      <c r="E188" s="124"/>
      <c r="F188" s="112" t="str">
        <f ca="1">IFERROR(__xludf.DUMMYFUNCTION("""COMPUTED_VALUE"""),"ту 14-1-3573-83, 2гп , УЗК РТТ")</f>
        <v>ту 14-1-3573-83, 2гп , УЗК РТТ</v>
      </c>
      <c r="G188" s="125">
        <f ca="1">IFERROR(__xludf.DUMMYFUNCTION("""COMPUTED_VALUE"""),1.21)</f>
        <v>1.21</v>
      </c>
      <c r="H188" s="125"/>
      <c r="I188" s="131">
        <f ca="1">IFERROR(__xludf.DUMMYFUNCTION("""COMPUTED_VALUE"""),800000)</f>
        <v>800000</v>
      </c>
    </row>
    <row r="189" spans="2:9" ht="15.75" x14ac:dyDescent="0.25">
      <c r="B189" s="123" t="str">
        <f ca="1">IFERROR(__xludf.DUMMYFUNCTION("""COMPUTED_VALUE"""),"круг")</f>
        <v>круг</v>
      </c>
      <c r="C189" s="133" t="str">
        <f ca="1">IFERROR(__xludf.DUMMYFUNCTION("""COMPUTED_VALUE"""),"07х16н4Б-Ш")</f>
        <v>07х16н4Б-Ш</v>
      </c>
      <c r="D189" s="124">
        <f ca="1">IFERROR(__xludf.DUMMYFUNCTION("""COMPUTED_VALUE"""),120)</f>
        <v>120</v>
      </c>
      <c r="E189" s="124"/>
      <c r="F189" s="112" t="str">
        <f ca="1">IFERROR(__xludf.DUMMYFUNCTION("""COMPUTED_VALUE"""),"ГОСТ5949/2590, 3гп , УЗК РТТ")</f>
        <v>ГОСТ5949/2590, 3гп , УЗК РТТ</v>
      </c>
      <c r="G189" s="125">
        <f ca="1">IFERROR(__xludf.DUMMYFUNCTION("""COMPUTED_VALUE"""),0.965)</f>
        <v>0.96499999999999997</v>
      </c>
      <c r="H189" s="125"/>
      <c r="I189" s="131">
        <f ca="1">IFERROR(__xludf.DUMMYFUNCTION("""COMPUTED_VALUE"""),800000)</f>
        <v>800000</v>
      </c>
    </row>
    <row r="190" spans="2:9" ht="15.75" x14ac:dyDescent="0.25">
      <c r="B190" s="123" t="str">
        <f ca="1">IFERROR(__xludf.DUMMYFUNCTION("""COMPUTED_VALUE"""),"круг")</f>
        <v>круг</v>
      </c>
      <c r="C190" s="133" t="str">
        <f ca="1">IFERROR(__xludf.DUMMYFUNCTION("""COMPUTED_VALUE"""),"07х16н4Б")</f>
        <v>07х16н4Б</v>
      </c>
      <c r="D190" s="124">
        <f ca="1">IFERROR(__xludf.DUMMYFUNCTION("""COMPUTED_VALUE"""),130)</f>
        <v>130</v>
      </c>
      <c r="E190" s="124"/>
      <c r="F190" s="112" t="str">
        <f ca="1">IFERROR(__xludf.DUMMYFUNCTION("""COMPUTED_VALUE"""),"ту 14-1-3573-83, 2гп РТТ")</f>
        <v>ту 14-1-3573-83, 2гп РТТ</v>
      </c>
      <c r="G190" s="125">
        <f ca="1">IFERROR(__xludf.DUMMYFUNCTION("""COMPUTED_VALUE"""),1.216)</f>
        <v>1.216</v>
      </c>
      <c r="H190" s="125"/>
      <c r="I190" s="131">
        <f ca="1">IFERROR(__xludf.DUMMYFUNCTION("""COMPUTED_VALUE"""),850000)</f>
        <v>850000</v>
      </c>
    </row>
    <row r="191" spans="2:9" ht="15.75" x14ac:dyDescent="0.25">
      <c r="B191" s="123" t="str">
        <f ca="1">IFERROR(__xludf.DUMMYFUNCTION("""COMPUTED_VALUE"""),"круг")</f>
        <v>круг</v>
      </c>
      <c r="C191" s="133" t="str">
        <f ca="1">IFERROR(__xludf.DUMMYFUNCTION("""COMPUTED_VALUE"""),"07х16н4Б")</f>
        <v>07х16н4Б</v>
      </c>
      <c r="D191" s="124">
        <f ca="1">IFERROR(__xludf.DUMMYFUNCTION("""COMPUTED_VALUE"""),140)</f>
        <v>140</v>
      </c>
      <c r="E191" s="124"/>
      <c r="F191" s="112" t="str">
        <f ca="1">IFERROR(__xludf.DUMMYFUNCTION("""COMPUTED_VALUE"""),"ту 14-1-3573-83, 2гп ")</f>
        <v xml:space="preserve">ту 14-1-3573-83, 2гп </v>
      </c>
      <c r="G191" s="125">
        <f ca="1">IFERROR(__xludf.DUMMYFUNCTION("""COMPUTED_VALUE"""),0.0689999999999999)</f>
        <v>6.8999999999999895E-2</v>
      </c>
      <c r="H191" s="125"/>
      <c r="I191" s="131">
        <f ca="1">IFERROR(__xludf.DUMMYFUNCTION("""COMPUTED_VALUE"""),840000)</f>
        <v>840000</v>
      </c>
    </row>
    <row r="192" spans="2:9" ht="15.75" x14ac:dyDescent="0.25">
      <c r="B192" s="123" t="str">
        <f ca="1">IFERROR(__xludf.DUMMYFUNCTION("""COMPUTED_VALUE"""),"круг")</f>
        <v>круг</v>
      </c>
      <c r="C192" s="133" t="str">
        <f ca="1">IFERROR(__xludf.DUMMYFUNCTION("""COMPUTED_VALUE"""),"07х16н4Б")</f>
        <v>07х16н4Б</v>
      </c>
      <c r="D192" s="124">
        <f ca="1">IFERROR(__xludf.DUMMYFUNCTION("""COMPUTED_VALUE"""),140)</f>
        <v>140</v>
      </c>
      <c r="E192" s="124"/>
      <c r="F192" s="112" t="str">
        <f ca="1">IFERROR(__xludf.DUMMYFUNCTION("""COMPUTED_VALUE"""),"ту 14-1-3573-83, 2гп ")</f>
        <v xml:space="preserve">ту 14-1-3573-83, 2гп </v>
      </c>
      <c r="G192" s="125">
        <f ca="1">IFERROR(__xludf.DUMMYFUNCTION("""COMPUTED_VALUE"""),1.614)</f>
        <v>1.6140000000000001</v>
      </c>
      <c r="H192" s="125"/>
      <c r="I192" s="131">
        <f ca="1">IFERROR(__xludf.DUMMYFUNCTION("""COMPUTED_VALUE"""),840000)</f>
        <v>840000</v>
      </c>
    </row>
    <row r="193" spans="2:9" ht="15.75" x14ac:dyDescent="0.25">
      <c r="B193" s="123" t="str">
        <f ca="1">IFERROR(__xludf.DUMMYFUNCTION("""COMPUTED_VALUE"""),"круг")</f>
        <v>круг</v>
      </c>
      <c r="C193" s="133" t="str">
        <f ca="1">IFERROR(__xludf.DUMMYFUNCTION("""COMPUTED_VALUE"""),"07х16н4Б")</f>
        <v>07х16н4Б</v>
      </c>
      <c r="D193" s="124">
        <f ca="1">IFERROR(__xludf.DUMMYFUNCTION("""COMPUTED_VALUE"""),160)</f>
        <v>160</v>
      </c>
      <c r="E193" s="124"/>
      <c r="F193" s="112" t="str">
        <f ca="1">IFERROR(__xludf.DUMMYFUNCTION("""COMPUTED_VALUE"""),"ту 14-1-3573-83, АТП , УЗК, 2гп ")</f>
        <v xml:space="preserve">ту 14-1-3573-83, АТП , УЗК, 2гп </v>
      </c>
      <c r="G193" s="125">
        <f ca="1">IFERROR(__xludf.DUMMYFUNCTION("""COMPUTED_VALUE"""),0.205999999999999)</f>
        <v>0.20599999999999899</v>
      </c>
      <c r="H193" s="125"/>
      <c r="I193" s="131">
        <f ca="1">IFERROR(__xludf.DUMMYFUNCTION("""COMPUTED_VALUE"""),870000)</f>
        <v>870000</v>
      </c>
    </row>
    <row r="194" spans="2:9" ht="15.75" x14ac:dyDescent="0.25">
      <c r="B194" s="123" t="str">
        <f ca="1">IFERROR(__xludf.DUMMYFUNCTION("""COMPUTED_VALUE"""),"круг")</f>
        <v>круг</v>
      </c>
      <c r="C194" s="133" t="str">
        <f ca="1">IFERROR(__xludf.DUMMYFUNCTION("""COMPUTED_VALUE"""),"07х16н4Б")</f>
        <v>07х16н4Б</v>
      </c>
      <c r="D194" s="124">
        <f ca="1">IFERROR(__xludf.DUMMYFUNCTION("""COMPUTED_VALUE"""),160)</f>
        <v>160</v>
      </c>
      <c r="E194" s="124"/>
      <c r="F194" s="112" t="str">
        <f ca="1">IFERROR(__xludf.DUMMYFUNCTION("""COMPUTED_VALUE"""),"ту 14-1-3573-83, 2гп ")</f>
        <v xml:space="preserve">ту 14-1-3573-83, 2гп </v>
      </c>
      <c r="G194" s="125">
        <f ca="1">IFERROR(__xludf.DUMMYFUNCTION("""COMPUTED_VALUE"""),0.179)</f>
        <v>0.17899999999999999</v>
      </c>
      <c r="H194" s="125"/>
      <c r="I194" s="131">
        <f ca="1">IFERROR(__xludf.DUMMYFUNCTION("""COMPUTED_VALUE"""),870000)</f>
        <v>870000</v>
      </c>
    </row>
    <row r="195" spans="2:9" ht="15.75" x14ac:dyDescent="0.25">
      <c r="B195" s="123" t="str">
        <f ca="1">IFERROR(__xludf.DUMMYFUNCTION("""COMPUTED_VALUE"""),"круг")</f>
        <v>круг</v>
      </c>
      <c r="C195" s="133" t="str">
        <f ca="1">IFERROR(__xludf.DUMMYFUNCTION("""COMPUTED_VALUE"""),"07х16н4Б")</f>
        <v>07х16н4Б</v>
      </c>
      <c r="D195" s="124">
        <f ca="1">IFERROR(__xludf.DUMMYFUNCTION("""COMPUTED_VALUE"""),170)</f>
        <v>170</v>
      </c>
      <c r="E195" s="124"/>
      <c r="F195" s="112" t="str">
        <f ca="1">IFERROR(__xludf.DUMMYFUNCTION("""COMPUTED_VALUE"""),"ту 14-1-3573-83, 2гп ")</f>
        <v xml:space="preserve">ту 14-1-3573-83, 2гп </v>
      </c>
      <c r="G195" s="125">
        <f ca="1">IFERROR(__xludf.DUMMYFUNCTION("""COMPUTED_VALUE"""),3.57)</f>
        <v>3.57</v>
      </c>
      <c r="H195" s="125"/>
      <c r="I195" s="131">
        <f ca="1">IFERROR(__xludf.DUMMYFUNCTION("""COMPUTED_VALUE"""),840000)</f>
        <v>840000</v>
      </c>
    </row>
    <row r="196" spans="2:9" ht="15.75" x14ac:dyDescent="0.25">
      <c r="B196" s="123" t="str">
        <f ca="1">IFERROR(__xludf.DUMMYFUNCTION("""COMPUTED_VALUE"""),"круг")</f>
        <v>круг</v>
      </c>
      <c r="C196" s="133" t="str">
        <f ca="1">IFERROR(__xludf.DUMMYFUNCTION("""COMPUTED_VALUE"""),"07х16н4Б")</f>
        <v>07х16н4Б</v>
      </c>
      <c r="D196" s="124">
        <f ca="1">IFERROR(__xludf.DUMMYFUNCTION("""COMPUTED_VALUE"""),180)</f>
        <v>180</v>
      </c>
      <c r="E196" s="124"/>
      <c r="F196" s="112" t="str">
        <f ca="1">IFERROR(__xludf.DUMMYFUNCTION("""COMPUTED_VALUE"""),"ту 14-1-3573-83, 2гп ")</f>
        <v xml:space="preserve">ту 14-1-3573-83, 2гп </v>
      </c>
      <c r="G196" s="125">
        <f ca="1">IFERROR(__xludf.DUMMYFUNCTION("""COMPUTED_VALUE"""),0.04)</f>
        <v>0.04</v>
      </c>
      <c r="H196" s="125"/>
      <c r="I196" s="131">
        <f ca="1">IFERROR(__xludf.DUMMYFUNCTION("""COMPUTED_VALUE"""),840000)</f>
        <v>840000</v>
      </c>
    </row>
    <row r="197" spans="2:9" ht="15.75" x14ac:dyDescent="0.25">
      <c r="B197" s="123" t="str">
        <f ca="1">IFERROR(__xludf.DUMMYFUNCTION("""COMPUTED_VALUE"""),"круг")</f>
        <v>круг</v>
      </c>
      <c r="C197" s="133" t="str">
        <f ca="1">IFERROR(__xludf.DUMMYFUNCTION("""COMPUTED_VALUE"""),"07х16н4Б")</f>
        <v>07х16н4Б</v>
      </c>
      <c r="D197" s="124">
        <f ca="1">IFERROR(__xludf.DUMMYFUNCTION("""COMPUTED_VALUE"""),180)</f>
        <v>180</v>
      </c>
      <c r="E197" s="124"/>
      <c r="F197" s="112" t="str">
        <f ca="1">IFERROR(__xludf.DUMMYFUNCTION("""COMPUTED_VALUE"""),"ту 14-1-3573-83, 2гп ")</f>
        <v xml:space="preserve">ту 14-1-3573-83, 2гп </v>
      </c>
      <c r="G197" s="125">
        <f ca="1">IFERROR(__xludf.DUMMYFUNCTION("""COMPUTED_VALUE"""),0.409999999999999)</f>
        <v>0.40999999999999898</v>
      </c>
      <c r="H197" s="125"/>
      <c r="I197" s="131">
        <f ca="1">IFERROR(__xludf.DUMMYFUNCTION("""COMPUTED_VALUE"""),840000)</f>
        <v>840000</v>
      </c>
    </row>
    <row r="198" spans="2:9" ht="15.75" x14ac:dyDescent="0.25">
      <c r="B198" s="123" t="str">
        <f ca="1">IFERROR(__xludf.DUMMYFUNCTION("""COMPUTED_VALUE"""),"круг")</f>
        <v>круг</v>
      </c>
      <c r="C198" s="133" t="str">
        <f ca="1">IFERROR(__xludf.DUMMYFUNCTION("""COMPUTED_VALUE"""),"07х16н4Б")</f>
        <v>07х16н4Б</v>
      </c>
      <c r="D198" s="124">
        <f ca="1">IFERROR(__xludf.DUMMYFUNCTION("""COMPUTED_VALUE"""),180)</f>
        <v>180</v>
      </c>
      <c r="E198" s="124"/>
      <c r="F198" s="112" t="str">
        <f ca="1">IFERROR(__xludf.DUMMYFUNCTION("""COMPUTED_VALUE"""),"ту 14-1-3573-83, 2гп ")</f>
        <v xml:space="preserve">ту 14-1-3573-83, 2гп </v>
      </c>
      <c r="G198" s="125">
        <f ca="1">IFERROR(__xludf.DUMMYFUNCTION("""COMPUTED_VALUE"""),0.637)</f>
        <v>0.63700000000000001</v>
      </c>
      <c r="H198" s="125"/>
      <c r="I198" s="131">
        <f ca="1">IFERROR(__xludf.DUMMYFUNCTION("""COMPUTED_VALUE"""),840000)</f>
        <v>840000</v>
      </c>
    </row>
    <row r="199" spans="2:9" ht="15.75" x14ac:dyDescent="0.25">
      <c r="B199" s="123" t="str">
        <f ca="1">IFERROR(__xludf.DUMMYFUNCTION("""COMPUTED_VALUE"""),"круг")</f>
        <v>круг</v>
      </c>
      <c r="C199" s="133" t="str">
        <f ca="1">IFERROR(__xludf.DUMMYFUNCTION("""COMPUTED_VALUE"""),"07х16н4Б")</f>
        <v>07х16н4Б</v>
      </c>
      <c r="D199" s="124">
        <f ca="1">IFERROR(__xludf.DUMMYFUNCTION("""COMPUTED_VALUE"""),190)</f>
        <v>190</v>
      </c>
      <c r="E199" s="124"/>
      <c r="F199" s="112" t="str">
        <f ca="1">IFERROR(__xludf.DUMMYFUNCTION("""COMPUTED_VALUE"""),"ту 14-1-3573-83, 2гп ")</f>
        <v xml:space="preserve">ту 14-1-3573-83, 2гп </v>
      </c>
      <c r="G199" s="125">
        <f ca="1">IFERROR(__xludf.DUMMYFUNCTION("""COMPUTED_VALUE"""),1.329)</f>
        <v>1.329</v>
      </c>
      <c r="H199" s="125"/>
      <c r="I199" s="131">
        <f ca="1">IFERROR(__xludf.DUMMYFUNCTION("""COMPUTED_VALUE"""),840000)</f>
        <v>840000</v>
      </c>
    </row>
    <row r="200" spans="2:9" ht="15.75" x14ac:dyDescent="0.25">
      <c r="B200" s="123" t="str">
        <f ca="1">IFERROR(__xludf.DUMMYFUNCTION("""COMPUTED_VALUE"""),"круг")</f>
        <v>круг</v>
      </c>
      <c r="C200" s="133" t="str">
        <f ca="1">IFERROR(__xludf.DUMMYFUNCTION("""COMPUTED_VALUE"""),"07х16н4Б")</f>
        <v>07х16н4Б</v>
      </c>
      <c r="D200" s="124">
        <f ca="1">IFERROR(__xludf.DUMMYFUNCTION("""COMPUTED_VALUE"""),200)</f>
        <v>200</v>
      </c>
      <c r="E200" s="124"/>
      <c r="F200" s="112" t="str">
        <f ca="1">IFERROR(__xludf.DUMMYFUNCTION("""COMPUTED_VALUE"""),"ту 14-1-3573-83, АТП , УЗК, 2гп ")</f>
        <v xml:space="preserve">ту 14-1-3573-83, АТП , УЗК, 2гп </v>
      </c>
      <c r="G200" s="125">
        <f ca="1">IFERROR(__xludf.DUMMYFUNCTION("""COMPUTED_VALUE"""),0.037)</f>
        <v>3.6999999999999998E-2</v>
      </c>
      <c r="H200" s="125"/>
      <c r="I200" s="131">
        <f ca="1">IFERROR(__xludf.DUMMYFUNCTION("""COMPUTED_VALUE"""),870000)</f>
        <v>870000</v>
      </c>
    </row>
    <row r="201" spans="2:9" ht="15.75" x14ac:dyDescent="0.25">
      <c r="B201" s="123" t="str">
        <f ca="1">IFERROR(__xludf.DUMMYFUNCTION("""COMPUTED_VALUE"""),"круг")</f>
        <v>круг</v>
      </c>
      <c r="C201" s="133" t="str">
        <f ca="1">IFERROR(__xludf.DUMMYFUNCTION("""COMPUTED_VALUE"""),"07х16н4Б")</f>
        <v>07х16н4Б</v>
      </c>
      <c r="D201" s="124">
        <f ca="1">IFERROR(__xludf.DUMMYFUNCTION("""COMPUTED_VALUE"""),210)</f>
        <v>210</v>
      </c>
      <c r="E201" s="124"/>
      <c r="F201" s="112" t="str">
        <f ca="1">IFERROR(__xludf.DUMMYFUNCTION("""COMPUTED_VALUE"""),"ГОСТ 5632/25054,  УЗК,обточ, ков")</f>
        <v>ГОСТ 5632/25054,  УЗК,обточ, ков</v>
      </c>
      <c r="G201" s="125">
        <f ca="1">IFERROR(__xludf.DUMMYFUNCTION("""COMPUTED_VALUE"""),0.039)</f>
        <v>3.9E-2</v>
      </c>
      <c r="H201" s="125"/>
      <c r="I201" s="131">
        <f ca="1">IFERROR(__xludf.DUMMYFUNCTION("""COMPUTED_VALUE"""),1025000)</f>
        <v>1025000</v>
      </c>
    </row>
    <row r="202" spans="2:9" ht="15.75" x14ac:dyDescent="0.25">
      <c r="B202" s="123" t="str">
        <f ca="1">IFERROR(__xludf.DUMMYFUNCTION("""COMPUTED_VALUE"""),"круг")</f>
        <v>круг</v>
      </c>
      <c r="C202" s="133" t="str">
        <f ca="1">IFERROR(__xludf.DUMMYFUNCTION("""COMPUTED_VALUE"""),"07х16н4Б")</f>
        <v>07х16н4Б</v>
      </c>
      <c r="D202" s="124">
        <f ca="1">IFERROR(__xludf.DUMMYFUNCTION("""COMPUTED_VALUE"""),210)</f>
        <v>210</v>
      </c>
      <c r="E202" s="124"/>
      <c r="F202" s="112" t="str">
        <f ca="1">IFERROR(__xludf.DUMMYFUNCTION("""COMPUTED_VALUE"""),"ГОСТ 5632/25054,  УЗК,обточ, ков, НМВ")</f>
        <v>ГОСТ 5632/25054,  УЗК,обточ, ков, НМВ</v>
      </c>
      <c r="G202" s="125">
        <f ca="1">IFERROR(__xludf.DUMMYFUNCTION("""COMPUTED_VALUE"""),3)</f>
        <v>3</v>
      </c>
      <c r="H202" s="125"/>
      <c r="I202" s="131">
        <f ca="1">IFERROR(__xludf.DUMMYFUNCTION("""COMPUTED_VALUE"""),950000)</f>
        <v>950000</v>
      </c>
    </row>
    <row r="203" spans="2:9" ht="15.75" x14ac:dyDescent="0.25">
      <c r="B203" s="123" t="str">
        <f ca="1">IFERROR(__xludf.DUMMYFUNCTION("""COMPUTED_VALUE"""),"круг")</f>
        <v>круг</v>
      </c>
      <c r="C203" s="133" t="str">
        <f ca="1">IFERROR(__xludf.DUMMYFUNCTION("""COMPUTED_VALUE"""),"07х16н4Б-Ш")</f>
        <v>07х16н4Б-Ш</v>
      </c>
      <c r="D203" s="124">
        <f ca="1">IFERROR(__xludf.DUMMYFUNCTION("""COMPUTED_VALUE"""),210)</f>
        <v>210</v>
      </c>
      <c r="E203" s="124"/>
      <c r="F203" s="112" t="str">
        <f ca="1">IFERROR(__xludf.DUMMYFUNCTION("""COMPUTED_VALUE"""),"ГОСТ 5632/25054,  УЗК,обточ, ков")</f>
        <v>ГОСТ 5632/25054,  УЗК,обточ, ков</v>
      </c>
      <c r="G203" s="125">
        <f ca="1">IFERROR(__xludf.DUMMYFUNCTION("""COMPUTED_VALUE"""),2)</f>
        <v>2</v>
      </c>
      <c r="H203" s="125"/>
      <c r="I203" s="131">
        <f ca="1">IFERROR(__xludf.DUMMYFUNCTION("""COMPUTED_VALUE"""),1200000)</f>
        <v>1200000</v>
      </c>
    </row>
    <row r="204" spans="2:9" ht="15.75" x14ac:dyDescent="0.25">
      <c r="B204" s="123" t="str">
        <f ca="1">IFERROR(__xludf.DUMMYFUNCTION("""COMPUTED_VALUE"""),"круг")</f>
        <v>круг</v>
      </c>
      <c r="C204" s="133" t="str">
        <f ca="1">IFERROR(__xludf.DUMMYFUNCTION("""COMPUTED_VALUE"""),"07х16н4Б-Ш")</f>
        <v>07х16н4Б-Ш</v>
      </c>
      <c r="D204" s="124">
        <f ca="1">IFERROR(__xludf.DUMMYFUNCTION("""COMPUTED_VALUE"""),220)</f>
        <v>220</v>
      </c>
      <c r="E204" s="124"/>
      <c r="F204" s="112" t="str">
        <f ca="1">IFERROR(__xludf.DUMMYFUNCTION("""COMPUTED_VALUE"""),"ГОСТ 5632/25054,  УЗК,обточ, ков")</f>
        <v>ГОСТ 5632/25054,  УЗК,обточ, ков</v>
      </c>
      <c r="G204" s="125">
        <f ca="1">IFERROR(__xludf.DUMMYFUNCTION("""COMPUTED_VALUE"""),2.1)</f>
        <v>2.1</v>
      </c>
      <c r="H204" s="125"/>
      <c r="I204" s="131">
        <f ca="1">IFERROR(__xludf.DUMMYFUNCTION("""COMPUTED_VALUE"""),1200000)</f>
        <v>1200000</v>
      </c>
    </row>
    <row r="205" spans="2:9" ht="15.75" x14ac:dyDescent="0.25">
      <c r="B205" s="123" t="str">
        <f ca="1">IFERROR(__xludf.DUMMYFUNCTION("""COMPUTED_VALUE"""),"круг")</f>
        <v>круг</v>
      </c>
      <c r="C205" s="133" t="str">
        <f ca="1">IFERROR(__xludf.DUMMYFUNCTION("""COMPUTED_VALUE"""),"07х16н4Б")</f>
        <v>07х16н4Б</v>
      </c>
      <c r="D205" s="124">
        <f ca="1">IFERROR(__xludf.DUMMYFUNCTION("""COMPUTED_VALUE"""),230)</f>
        <v>230</v>
      </c>
      <c r="E205" s="124"/>
      <c r="F205" s="112" t="str">
        <f ca="1">IFERROR(__xludf.DUMMYFUNCTION("""COMPUTED_VALUE"""),"ГОСТ 5632/25054,  УЗК,обточ, ков")</f>
        <v>ГОСТ 5632/25054,  УЗК,обточ, ков</v>
      </c>
      <c r="G205" s="125">
        <f ca="1">IFERROR(__xludf.DUMMYFUNCTION("""COMPUTED_VALUE"""),3)</f>
        <v>3</v>
      </c>
      <c r="H205" s="125"/>
      <c r="I205" s="131">
        <f ca="1">IFERROR(__xludf.DUMMYFUNCTION("""COMPUTED_VALUE"""),950000)</f>
        <v>950000</v>
      </c>
    </row>
    <row r="206" spans="2:9" ht="15.75" x14ac:dyDescent="0.25">
      <c r="B206" s="123" t="str">
        <f ca="1">IFERROR(__xludf.DUMMYFUNCTION("""COMPUTED_VALUE"""),"круг")</f>
        <v>круг</v>
      </c>
      <c r="C206" s="133" t="str">
        <f ca="1">IFERROR(__xludf.DUMMYFUNCTION("""COMPUTED_VALUE"""),"07х16н4Б-Ш")</f>
        <v>07х16н4Б-Ш</v>
      </c>
      <c r="D206" s="124">
        <f ca="1">IFERROR(__xludf.DUMMYFUNCTION("""COMPUTED_VALUE"""),230)</f>
        <v>230</v>
      </c>
      <c r="E206" s="124"/>
      <c r="F206" s="112" t="str">
        <f ca="1">IFERROR(__xludf.DUMMYFUNCTION("""COMPUTED_VALUE"""),"ГОСТ 5632/25054,  УЗК,обточ, ков")</f>
        <v>ГОСТ 5632/25054,  УЗК,обточ, ков</v>
      </c>
      <c r="G206" s="125">
        <f ca="1">IFERROR(__xludf.DUMMYFUNCTION("""COMPUTED_VALUE"""),2.3)</f>
        <v>2.2999999999999998</v>
      </c>
      <c r="H206" s="125"/>
      <c r="I206" s="131">
        <f ca="1">IFERROR(__xludf.DUMMYFUNCTION("""COMPUTED_VALUE"""),1200000)</f>
        <v>1200000</v>
      </c>
    </row>
    <row r="207" spans="2:9" ht="15.75" x14ac:dyDescent="0.25">
      <c r="B207" s="123" t="str">
        <f ca="1">IFERROR(__xludf.DUMMYFUNCTION("""COMPUTED_VALUE"""),"круг")</f>
        <v>круг</v>
      </c>
      <c r="C207" s="133" t="str">
        <f ca="1">IFERROR(__xludf.DUMMYFUNCTION("""COMPUTED_VALUE"""),"07х16н4Б-Ш")</f>
        <v>07х16н4Б-Ш</v>
      </c>
      <c r="D207" s="124">
        <f ca="1">IFERROR(__xludf.DUMMYFUNCTION("""COMPUTED_VALUE"""),240)</f>
        <v>240</v>
      </c>
      <c r="E207" s="124"/>
      <c r="F207" s="112" t="str">
        <f ca="1">IFERROR(__xludf.DUMMYFUNCTION("""COMPUTED_VALUE"""),"ГОСТ 5632/25054,  УЗК,обточ, ков")</f>
        <v>ГОСТ 5632/25054,  УЗК,обточ, ков</v>
      </c>
      <c r="G207" s="125">
        <f ca="1">IFERROR(__xludf.DUMMYFUNCTION("""COMPUTED_VALUE"""),2.5)</f>
        <v>2.5</v>
      </c>
      <c r="H207" s="125"/>
      <c r="I207" s="131">
        <f ca="1">IFERROR(__xludf.DUMMYFUNCTION("""COMPUTED_VALUE"""),1200000)</f>
        <v>1200000</v>
      </c>
    </row>
    <row r="208" spans="2:9" ht="15.75" x14ac:dyDescent="0.25">
      <c r="B208" s="123" t="str">
        <f ca="1">IFERROR(__xludf.DUMMYFUNCTION("""COMPUTED_VALUE"""),"круг")</f>
        <v>круг</v>
      </c>
      <c r="C208" s="133" t="str">
        <f ca="1">IFERROR(__xludf.DUMMYFUNCTION("""COMPUTED_VALUE"""),"07х16н4Б-Ш")</f>
        <v>07х16н4Б-Ш</v>
      </c>
      <c r="D208" s="124">
        <f ca="1">IFERROR(__xludf.DUMMYFUNCTION("""COMPUTED_VALUE"""),250)</f>
        <v>250</v>
      </c>
      <c r="E208" s="124"/>
      <c r="F208" s="112" t="str">
        <f ca="1">IFERROR(__xludf.DUMMYFUNCTION("""COMPUTED_VALUE"""),"ГОСТ 5632/25054,  УЗК,обточ, ков")</f>
        <v>ГОСТ 5632/25054,  УЗК,обточ, ков</v>
      </c>
      <c r="G208" s="125">
        <f ca="1">IFERROR(__xludf.DUMMYFUNCTION("""COMPUTED_VALUE"""),2.7)</f>
        <v>2.7</v>
      </c>
      <c r="H208" s="125"/>
      <c r="I208" s="131">
        <f ca="1">IFERROR(__xludf.DUMMYFUNCTION("""COMPUTED_VALUE"""),1200000)</f>
        <v>1200000</v>
      </c>
    </row>
    <row r="209" spans="2:9" ht="15.75" x14ac:dyDescent="0.25">
      <c r="B209" s="123" t="str">
        <f ca="1">IFERROR(__xludf.DUMMYFUNCTION("""COMPUTED_VALUE"""),"круг")</f>
        <v>круг</v>
      </c>
      <c r="C209" s="133" t="str">
        <f ca="1">IFERROR(__xludf.DUMMYFUNCTION("""COMPUTED_VALUE"""),"07х16н4Б")</f>
        <v>07х16н4Б</v>
      </c>
      <c r="D209" s="124">
        <f ca="1">IFERROR(__xludf.DUMMYFUNCTION("""COMPUTED_VALUE"""),250)</f>
        <v>250</v>
      </c>
      <c r="E209" s="124"/>
      <c r="F209" s="112" t="str">
        <f ca="1">IFERROR(__xludf.DUMMYFUNCTION("""COMPUTED_VALUE"""),"ГОСТ 5632/25054,  УЗК,обточ, ков с протоколом")</f>
        <v>ГОСТ 5632/25054,  УЗК,обточ, ков с протоколом</v>
      </c>
      <c r="G209" s="125">
        <f ca="1">IFERROR(__xludf.DUMMYFUNCTION("""COMPUTED_VALUE"""),0.229)</f>
        <v>0.22900000000000001</v>
      </c>
      <c r="H209" s="125"/>
      <c r="I209" s="131">
        <f ca="1">IFERROR(__xludf.DUMMYFUNCTION("""COMPUTED_VALUE"""),1150000)</f>
        <v>1150000</v>
      </c>
    </row>
    <row r="210" spans="2:9" ht="15.75" x14ac:dyDescent="0.25">
      <c r="B210" s="123" t="str">
        <f ca="1">IFERROR(__xludf.DUMMYFUNCTION("""COMPUTED_VALUE"""),"круг")</f>
        <v>круг</v>
      </c>
      <c r="C210" s="133" t="str">
        <f ca="1">IFERROR(__xludf.DUMMYFUNCTION("""COMPUTED_VALUE"""),"07х16н4Б-Ш")</f>
        <v>07х16н4Б-Ш</v>
      </c>
      <c r="D210" s="124">
        <f ca="1">IFERROR(__xludf.DUMMYFUNCTION("""COMPUTED_VALUE"""),270)</f>
        <v>270</v>
      </c>
      <c r="E210" s="124"/>
      <c r="F210" s="112" t="str">
        <f ca="1">IFERROR(__xludf.DUMMYFUNCTION("""COMPUTED_VALUE"""),"ГОСТ 5632/25054,  УЗК,обточ, ков")</f>
        <v>ГОСТ 5632/25054,  УЗК,обточ, ков</v>
      </c>
      <c r="G210" s="125">
        <f ca="1">IFERROR(__xludf.DUMMYFUNCTION("""COMPUTED_VALUE"""),3.2)</f>
        <v>3.2</v>
      </c>
      <c r="H210" s="125"/>
      <c r="I210" s="131">
        <f ca="1">IFERROR(__xludf.DUMMYFUNCTION("""COMPUTED_VALUE"""),1200000)</f>
        <v>1200000</v>
      </c>
    </row>
    <row r="211" spans="2:9" ht="15.75" x14ac:dyDescent="0.25">
      <c r="B211" s="123" t="str">
        <f ca="1">IFERROR(__xludf.DUMMYFUNCTION("""COMPUTED_VALUE"""),"круг")</f>
        <v>круг</v>
      </c>
      <c r="C211" s="133" t="str">
        <f ca="1">IFERROR(__xludf.DUMMYFUNCTION("""COMPUTED_VALUE"""),"07х16н4Б")</f>
        <v>07х16н4Б</v>
      </c>
      <c r="D211" s="124">
        <f ca="1">IFERROR(__xludf.DUMMYFUNCTION("""COMPUTED_VALUE"""),270)</f>
        <v>270</v>
      </c>
      <c r="E211" s="124"/>
      <c r="F211" s="112" t="str">
        <f ca="1">IFERROR(__xludf.DUMMYFUNCTION("""COMPUTED_VALUE"""),"ГОСТ 5632/25054,  УЗК,обточ, ков с протоколом")</f>
        <v>ГОСТ 5632/25054,  УЗК,обточ, ков с протоколом</v>
      </c>
      <c r="G211" s="125">
        <f ca="1">IFERROR(__xludf.DUMMYFUNCTION("""COMPUTED_VALUE"""),0.0489999999999999)</f>
        <v>4.8999999999999898E-2</v>
      </c>
      <c r="H211" s="125"/>
      <c r="I211" s="131">
        <f ca="1">IFERROR(__xludf.DUMMYFUNCTION("""COMPUTED_VALUE"""),1150000)</f>
        <v>1150000</v>
      </c>
    </row>
    <row r="212" spans="2:9" ht="15.75" x14ac:dyDescent="0.25">
      <c r="B212" s="123" t="str">
        <f ca="1">IFERROR(__xludf.DUMMYFUNCTION("""COMPUTED_VALUE"""),"круг")</f>
        <v>круг</v>
      </c>
      <c r="C212" s="133" t="str">
        <f ca="1">IFERROR(__xludf.DUMMYFUNCTION("""COMPUTED_VALUE"""),"07х16н4Б-Ш")</f>
        <v>07х16н4Б-Ш</v>
      </c>
      <c r="D212" s="124">
        <f ca="1">IFERROR(__xludf.DUMMYFUNCTION("""COMPUTED_VALUE"""),280)</f>
        <v>280</v>
      </c>
      <c r="E212" s="124"/>
      <c r="F212" s="112" t="str">
        <f ca="1">IFERROR(__xludf.DUMMYFUNCTION("""COMPUTED_VALUE"""),"ГОСТ 5632/25054,  УЗК,обточ, ков")</f>
        <v>ГОСТ 5632/25054,  УЗК,обточ, ков</v>
      </c>
      <c r="G212" s="125">
        <f ca="1">IFERROR(__xludf.DUMMYFUNCTION("""COMPUTED_VALUE"""),3.4)</f>
        <v>3.4</v>
      </c>
      <c r="H212" s="125"/>
      <c r="I212" s="131">
        <f ca="1">IFERROR(__xludf.DUMMYFUNCTION("""COMPUTED_VALUE"""),1200000)</f>
        <v>1200000</v>
      </c>
    </row>
    <row r="213" spans="2:9" ht="15.75" x14ac:dyDescent="0.25">
      <c r="B213" s="123" t="str">
        <f ca="1">IFERROR(__xludf.DUMMYFUNCTION("""COMPUTED_VALUE"""),"круг")</f>
        <v>круг</v>
      </c>
      <c r="C213" s="133" t="str">
        <f ca="1">IFERROR(__xludf.DUMMYFUNCTION("""COMPUTED_VALUE"""),"07х16н4Б")</f>
        <v>07х16н4Б</v>
      </c>
      <c r="D213" s="124">
        <f ca="1">IFERROR(__xludf.DUMMYFUNCTION("""COMPUTED_VALUE"""),300)</f>
        <v>300</v>
      </c>
      <c r="E213" s="124"/>
      <c r="F213" s="112" t="str">
        <f ca="1">IFERROR(__xludf.DUMMYFUNCTION("""COMPUTED_VALUE"""),"ГОСТ 5632/25054,  УЗК,обточ, ков")</f>
        <v>ГОСТ 5632/25054,  УЗК,обточ, ков</v>
      </c>
      <c r="G213" s="125">
        <f ca="1">IFERROR(__xludf.DUMMYFUNCTION("""COMPUTED_VALUE"""),0.129999999999999)</f>
        <v>0.12999999999999901</v>
      </c>
      <c r="H213" s="125"/>
      <c r="I213" s="131">
        <f ca="1">IFERROR(__xludf.DUMMYFUNCTION("""COMPUTED_VALUE"""),1150000)</f>
        <v>1150000</v>
      </c>
    </row>
    <row r="214" spans="2:9" ht="15.75" x14ac:dyDescent="0.25">
      <c r="B214" s="123" t="str">
        <f ca="1">IFERROR(__xludf.DUMMYFUNCTION("""COMPUTED_VALUE"""),"круг")</f>
        <v>круг</v>
      </c>
      <c r="C214" s="133" t="str">
        <f ca="1">IFERROR(__xludf.DUMMYFUNCTION("""COMPUTED_VALUE"""),"07х16н4Б")</f>
        <v>07х16н4Б</v>
      </c>
      <c r="D214" s="124">
        <f ca="1">IFERROR(__xludf.DUMMYFUNCTION("""COMPUTED_VALUE"""),320)</f>
        <v>320</v>
      </c>
      <c r="E214" s="124"/>
      <c r="F214" s="112" t="str">
        <f ca="1">IFERROR(__xludf.DUMMYFUNCTION("""COMPUTED_VALUE"""),"ту 14-1-3573-83, УЗК,обточ, ков")</f>
        <v>ту 14-1-3573-83, УЗК,обточ, ков</v>
      </c>
      <c r="G214" s="125">
        <f ca="1">IFERROR(__xludf.DUMMYFUNCTION("""COMPUTED_VALUE"""),0.0859999999999998)</f>
        <v>8.5999999999999799E-2</v>
      </c>
      <c r="H214" s="125"/>
      <c r="I214" s="131">
        <f ca="1">IFERROR(__xludf.DUMMYFUNCTION("""COMPUTED_VALUE"""),1150000)</f>
        <v>1150000</v>
      </c>
    </row>
    <row r="215" spans="2:9" ht="15.75" x14ac:dyDescent="0.25">
      <c r="B215" s="123" t="str">
        <f ca="1">IFERROR(__xludf.DUMMYFUNCTION("""COMPUTED_VALUE"""),"круг")</f>
        <v>круг</v>
      </c>
      <c r="C215" s="133" t="str">
        <f ca="1">IFERROR(__xludf.DUMMYFUNCTION("""COMPUTED_VALUE"""),"07х16н4Б")</f>
        <v>07х16н4Б</v>
      </c>
      <c r="D215" s="124">
        <f ca="1">IFERROR(__xludf.DUMMYFUNCTION("""COMPUTED_VALUE"""),350)</f>
        <v>350</v>
      </c>
      <c r="E215" s="124"/>
      <c r="F215" s="112" t="str">
        <f ca="1">IFERROR(__xludf.DUMMYFUNCTION("""COMPUTED_VALUE"""),"ГОСТ 5632/25054,  УЗК,обточ, ков с протоколом")</f>
        <v>ГОСТ 5632/25054,  УЗК,обточ, ков с протоколом</v>
      </c>
      <c r="G215" s="125">
        <f ca="1">IFERROR(__xludf.DUMMYFUNCTION("""COMPUTED_VALUE"""),1.80999999999999)</f>
        <v>1.8099999999999901</v>
      </c>
      <c r="H215" s="125"/>
      <c r="I215" s="131">
        <f ca="1">IFERROR(__xludf.DUMMYFUNCTION("""COMPUTED_VALUE"""),1150000)</f>
        <v>1150000</v>
      </c>
    </row>
    <row r="216" spans="2:9" ht="15.75" x14ac:dyDescent="0.25">
      <c r="B216" s="123" t="str">
        <f ca="1">IFERROR(__xludf.DUMMYFUNCTION("""COMPUTED_VALUE"""),"круг")</f>
        <v>круг</v>
      </c>
      <c r="C216" s="133" t="str">
        <f ca="1">IFERROR(__xludf.DUMMYFUNCTION("""COMPUTED_VALUE"""),"07х16н4Б")</f>
        <v>07х16н4Б</v>
      </c>
      <c r="D216" s="124">
        <f ca="1">IFERROR(__xludf.DUMMYFUNCTION("""COMPUTED_VALUE"""),350)</f>
        <v>350</v>
      </c>
      <c r="E216" s="124"/>
      <c r="F216" s="112" t="str">
        <f ca="1">IFERROR(__xludf.DUMMYFUNCTION("""COMPUTED_VALUE"""),"гост 25054, гр1, гост 5632-72")</f>
        <v>гост 25054, гр1, гост 5632-72</v>
      </c>
      <c r="G216" s="125">
        <f ca="1">IFERROR(__xludf.DUMMYFUNCTION("""COMPUTED_VALUE"""),0.494)</f>
        <v>0.49399999999999999</v>
      </c>
      <c r="H216" s="125"/>
      <c r="I216" s="131">
        <f ca="1">IFERROR(__xludf.DUMMYFUNCTION("""COMPUTED_VALUE"""),780000)</f>
        <v>780000</v>
      </c>
    </row>
    <row r="217" spans="2:9" ht="15.75" x14ac:dyDescent="0.25">
      <c r="B217" s="123" t="str">
        <f ca="1">IFERROR(__xludf.DUMMYFUNCTION("""COMPUTED_VALUE"""),"круг")</f>
        <v>круг</v>
      </c>
      <c r="C217" s="133" t="str">
        <f ca="1">IFERROR(__xludf.DUMMYFUNCTION("""COMPUTED_VALUE"""),"07х16н4Б")</f>
        <v>07х16н4Б</v>
      </c>
      <c r="D217" s="124">
        <f ca="1">IFERROR(__xludf.DUMMYFUNCTION("""COMPUTED_VALUE"""),360)</f>
        <v>360</v>
      </c>
      <c r="E217" s="124"/>
      <c r="F217" s="112" t="str">
        <f ca="1">IFERROR(__xludf.DUMMYFUNCTION("""COMPUTED_VALUE"""),"ГОСТ 5632/25054,  УЗК,обточ, ков")</f>
        <v>ГОСТ 5632/25054,  УЗК,обточ, ков</v>
      </c>
      <c r="G217" s="125">
        <f ca="1">IFERROR(__xludf.DUMMYFUNCTION("""COMPUTED_VALUE"""),1.564)</f>
        <v>1.5640000000000001</v>
      </c>
      <c r="H217" s="125"/>
      <c r="I217" s="131">
        <f ca="1">IFERROR(__xludf.DUMMYFUNCTION("""COMPUTED_VALUE"""),1025000)</f>
        <v>1025000</v>
      </c>
    </row>
    <row r="218" spans="2:9" ht="15.75" x14ac:dyDescent="0.25">
      <c r="B218" s="123" t="str">
        <f ca="1">IFERROR(__xludf.DUMMYFUNCTION("""COMPUTED_VALUE"""),"круг")</f>
        <v>круг</v>
      </c>
      <c r="C218" s="133" t="str">
        <f ca="1">IFERROR(__xludf.DUMMYFUNCTION("""COMPUTED_VALUE"""),"07х16н4Б")</f>
        <v>07х16н4Б</v>
      </c>
      <c r="D218" s="124">
        <f ca="1">IFERROR(__xludf.DUMMYFUNCTION("""COMPUTED_VALUE"""),370)</f>
        <v>370</v>
      </c>
      <c r="E218" s="124"/>
      <c r="F218" s="112" t="str">
        <f ca="1">IFERROR(__xludf.DUMMYFUNCTION("""COMPUTED_VALUE"""),"ГОСТ 5632/25054,  УЗК,обточ, ков")</f>
        <v>ГОСТ 5632/25054,  УЗК,обточ, ков</v>
      </c>
      <c r="G218" s="125">
        <f ca="1">IFERROR(__xludf.DUMMYFUNCTION("""COMPUTED_VALUE"""),5.275)</f>
        <v>5.2750000000000004</v>
      </c>
      <c r="H218" s="125"/>
      <c r="I218" s="131">
        <f ca="1">IFERROR(__xludf.DUMMYFUNCTION("""COMPUTED_VALUE"""),1025000)</f>
        <v>1025000</v>
      </c>
    </row>
    <row r="219" spans="2:9" ht="15.75" x14ac:dyDescent="0.25">
      <c r="B219" s="123" t="str">
        <f ca="1">IFERROR(__xludf.DUMMYFUNCTION("""COMPUTED_VALUE"""),"круг")</f>
        <v>круг</v>
      </c>
      <c r="C219" s="133" t="str">
        <f ca="1">IFERROR(__xludf.DUMMYFUNCTION("""COMPUTED_VALUE"""),"07х16н4Б")</f>
        <v>07х16н4Б</v>
      </c>
      <c r="D219" s="124">
        <f ca="1">IFERROR(__xludf.DUMMYFUNCTION("""COMPUTED_VALUE"""),380)</f>
        <v>380</v>
      </c>
      <c r="E219" s="124"/>
      <c r="F219" s="112" t="str">
        <f ca="1">IFERROR(__xludf.DUMMYFUNCTION("""COMPUTED_VALUE"""),"ГОСТ 5632/25054,  УЗК,обточ, ков")</f>
        <v>ГОСТ 5632/25054,  УЗК,обточ, ков</v>
      </c>
      <c r="G219" s="125">
        <f ca="1">IFERROR(__xludf.DUMMYFUNCTION("""COMPUTED_VALUE"""),3.029)</f>
        <v>3.0289999999999999</v>
      </c>
      <c r="H219" s="125"/>
      <c r="I219" s="131">
        <f ca="1">IFERROR(__xludf.DUMMYFUNCTION("""COMPUTED_VALUE"""),1100000)</f>
        <v>1100000</v>
      </c>
    </row>
    <row r="220" spans="2:9" ht="15.75" x14ac:dyDescent="0.25">
      <c r="B220" s="123" t="str">
        <f ca="1">IFERROR(__xludf.DUMMYFUNCTION("""COMPUTED_VALUE"""),"круг")</f>
        <v>круг</v>
      </c>
      <c r="C220" s="133" t="str">
        <f ca="1">IFERROR(__xludf.DUMMYFUNCTION("""COMPUTED_VALUE"""),"07х16н4Б")</f>
        <v>07х16н4Б</v>
      </c>
      <c r="D220" s="124">
        <f ca="1">IFERROR(__xludf.DUMMYFUNCTION("""COMPUTED_VALUE"""),380)</f>
        <v>380</v>
      </c>
      <c r="E220" s="124"/>
      <c r="F220" s="112" t="str">
        <f ca="1">IFERROR(__xludf.DUMMYFUNCTION("""COMPUTED_VALUE"""),"ГОСТ 5632/25054,  УЗК,обточ, ков")</f>
        <v>ГОСТ 5632/25054,  УЗК,обточ, ков</v>
      </c>
      <c r="G220" s="125">
        <f ca="1">IFERROR(__xludf.DUMMYFUNCTION("""COMPUTED_VALUE"""),2.975)</f>
        <v>2.9750000000000001</v>
      </c>
      <c r="H220" s="125"/>
      <c r="I220" s="131">
        <f ca="1">IFERROR(__xludf.DUMMYFUNCTION("""COMPUTED_VALUE"""),1100000)</f>
        <v>1100000</v>
      </c>
    </row>
    <row r="221" spans="2:9" ht="15.75" x14ac:dyDescent="0.25">
      <c r="B221" s="123" t="str">
        <f ca="1">IFERROR(__xludf.DUMMYFUNCTION("""COMPUTED_VALUE"""),"круг")</f>
        <v>круг</v>
      </c>
      <c r="C221" s="133" t="str">
        <f ca="1">IFERROR(__xludf.DUMMYFUNCTION("""COMPUTED_VALUE"""),"07х16н4Б")</f>
        <v>07х16н4Б</v>
      </c>
      <c r="D221" s="124">
        <f ca="1">IFERROR(__xludf.DUMMYFUNCTION("""COMPUTED_VALUE"""),400)</f>
        <v>400</v>
      </c>
      <c r="E221" s="124"/>
      <c r="F221" s="112" t="str">
        <f ca="1">IFERROR(__xludf.DUMMYFUNCTION("""COMPUTED_VALUE"""),"ГОСТ 5632/25054,  УЗК,обточ, ков")</f>
        <v>ГОСТ 5632/25054,  УЗК,обточ, ков</v>
      </c>
      <c r="G221" s="125">
        <f ca="1">IFERROR(__xludf.DUMMYFUNCTION("""COMPUTED_VALUE"""),3.733)</f>
        <v>3.7330000000000001</v>
      </c>
      <c r="H221" s="125"/>
      <c r="I221" s="131">
        <f ca="1">IFERROR(__xludf.DUMMYFUNCTION("""COMPUTED_VALUE"""),1150000)</f>
        <v>1150000</v>
      </c>
    </row>
    <row r="222" spans="2:9" ht="15.75" x14ac:dyDescent="0.25">
      <c r="B222" s="123" t="str">
        <f ca="1">IFERROR(__xludf.DUMMYFUNCTION("""COMPUTED_VALUE"""),"круг")</f>
        <v>круг</v>
      </c>
      <c r="C222" s="133" t="str">
        <f ca="1">IFERROR(__xludf.DUMMYFUNCTION("""COMPUTED_VALUE"""),"07х16н4Б")</f>
        <v>07х16н4Б</v>
      </c>
      <c r="D222" s="124">
        <f ca="1">IFERROR(__xludf.DUMMYFUNCTION("""COMPUTED_VALUE"""),400)</f>
        <v>400</v>
      </c>
      <c r="E222" s="124"/>
      <c r="F222" s="112" t="str">
        <f ca="1">IFERROR(__xludf.DUMMYFUNCTION("""COMPUTED_VALUE"""),"ГОСТ 5632/25054, УЗК,обточ, ков")</f>
        <v>ГОСТ 5632/25054, УЗК,обточ, ков</v>
      </c>
      <c r="G222" s="125">
        <f ca="1">IFERROR(__xludf.DUMMYFUNCTION("""COMPUTED_VALUE"""),4.545)</f>
        <v>4.5449999999999999</v>
      </c>
      <c r="H222" s="125"/>
      <c r="I222" s="131">
        <f ca="1">IFERROR(__xludf.DUMMYFUNCTION("""COMPUTED_VALUE"""),1150000)</f>
        <v>1150000</v>
      </c>
    </row>
    <row r="223" spans="2:9" ht="15.75" x14ac:dyDescent="0.25">
      <c r="B223" s="123" t="str">
        <f ca="1">IFERROR(__xludf.DUMMYFUNCTION("""COMPUTED_VALUE"""),"круг")</f>
        <v>круг</v>
      </c>
      <c r="C223" s="133" t="str">
        <f ca="1">IFERROR(__xludf.DUMMYFUNCTION("""COMPUTED_VALUE"""),"07х16н4Б")</f>
        <v>07х16н4Б</v>
      </c>
      <c r="D223" s="124">
        <f ca="1">IFERROR(__xludf.DUMMYFUNCTION("""COMPUTED_VALUE"""),430)</f>
        <v>430</v>
      </c>
      <c r="E223" s="124"/>
      <c r="F223" s="112" t="str">
        <f ca="1">IFERROR(__xludf.DUMMYFUNCTION("""COMPUTED_VALUE"""),"ГОСТ 5632/25054,  УЗК,обточ, ков")</f>
        <v>ГОСТ 5632/25054,  УЗК,обточ, ков</v>
      </c>
      <c r="G223" s="125">
        <f ca="1">IFERROR(__xludf.DUMMYFUNCTION("""COMPUTED_VALUE"""),2.221)</f>
        <v>2.2210000000000001</v>
      </c>
      <c r="H223" s="125"/>
      <c r="I223" s="131">
        <f ca="1">IFERROR(__xludf.DUMMYFUNCTION("""COMPUTED_VALUE"""),1100000)</f>
        <v>1100000</v>
      </c>
    </row>
    <row r="224" spans="2:9" ht="15.75" x14ac:dyDescent="0.25">
      <c r="B224" s="123" t="str">
        <f ca="1">IFERROR(__xludf.DUMMYFUNCTION("""COMPUTED_VALUE"""),"круг")</f>
        <v>круг</v>
      </c>
      <c r="C224" s="133" t="str">
        <f ca="1">IFERROR(__xludf.DUMMYFUNCTION("""COMPUTED_VALUE"""),"07х16н4Б")</f>
        <v>07х16н4Б</v>
      </c>
      <c r="D224" s="124">
        <f ca="1">IFERROR(__xludf.DUMMYFUNCTION("""COMPUTED_VALUE"""),450)</f>
        <v>450</v>
      </c>
      <c r="E224" s="124"/>
      <c r="F224" s="112" t="str">
        <f ca="1">IFERROR(__xludf.DUMMYFUNCTION("""COMPUTED_VALUE"""),"ГОСТ 5632/25054, УЗК,обточ, ков")</f>
        <v>ГОСТ 5632/25054, УЗК,обточ, ков</v>
      </c>
      <c r="G224" s="125">
        <f ca="1">IFERROR(__xludf.DUMMYFUNCTION("""COMPUTED_VALUE"""),3.24)</f>
        <v>3.24</v>
      </c>
      <c r="H224" s="125"/>
      <c r="I224" s="131">
        <f ca="1">IFERROR(__xludf.DUMMYFUNCTION("""COMPUTED_VALUE"""),1150000)</f>
        <v>1150000</v>
      </c>
    </row>
    <row r="225" spans="2:9" ht="15.75" x14ac:dyDescent="0.25">
      <c r="B225" s="123" t="str">
        <f ca="1">IFERROR(__xludf.DUMMYFUNCTION("""COMPUTED_VALUE"""),"круг")</f>
        <v>круг</v>
      </c>
      <c r="C225" s="133" t="str">
        <f ca="1">IFERROR(__xludf.DUMMYFUNCTION("""COMPUTED_VALUE"""),"07х16н4Б")</f>
        <v>07х16н4Б</v>
      </c>
      <c r="D225" s="124">
        <f ca="1">IFERROR(__xludf.DUMMYFUNCTION("""COMPUTED_VALUE"""),450)</f>
        <v>450</v>
      </c>
      <c r="E225" s="124"/>
      <c r="F225" s="112" t="str">
        <f ca="1">IFERROR(__xludf.DUMMYFUNCTION("""COMPUTED_VALUE"""),"ГОСТ 5632/25054, УЗК,обточ, ков")</f>
        <v>ГОСТ 5632/25054, УЗК,обточ, ков</v>
      </c>
      <c r="G225" s="125">
        <f ca="1">IFERROR(__xludf.DUMMYFUNCTION("""COMPUTED_VALUE"""),2.995)</f>
        <v>2.9950000000000001</v>
      </c>
      <c r="H225" s="125"/>
      <c r="I225" s="131">
        <f ca="1">IFERROR(__xludf.DUMMYFUNCTION("""COMPUTED_VALUE"""),1150000)</f>
        <v>1150000</v>
      </c>
    </row>
    <row r="226" spans="2:9" ht="15.75" x14ac:dyDescent="0.25">
      <c r="B226" s="123" t="str">
        <f ca="1">IFERROR(__xludf.DUMMYFUNCTION("""COMPUTED_VALUE"""),"круг")</f>
        <v>круг</v>
      </c>
      <c r="C226" s="133" t="str">
        <f ca="1">IFERROR(__xludf.DUMMYFUNCTION("""COMPUTED_VALUE"""),"07х16н4Б")</f>
        <v>07х16н4Б</v>
      </c>
      <c r="D226" s="124">
        <f ca="1">IFERROR(__xludf.DUMMYFUNCTION("""COMPUTED_VALUE"""),450)</f>
        <v>450</v>
      </c>
      <c r="E226" s="124"/>
      <c r="F226" s="112" t="str">
        <f ca="1">IFERROR(__xludf.DUMMYFUNCTION("""COMPUTED_VALUE"""),"ГОСТ 5632/25054, УЗК,обточ, ков")</f>
        <v>ГОСТ 5632/25054, УЗК,обточ, ков</v>
      </c>
      <c r="G226" s="125">
        <f ca="1">IFERROR(__xludf.DUMMYFUNCTION("""COMPUTED_VALUE"""),3.9)</f>
        <v>3.9</v>
      </c>
      <c r="H226" s="125"/>
      <c r="I226" s="131">
        <f ca="1">IFERROR(__xludf.DUMMYFUNCTION("""COMPUTED_VALUE"""),1150000)</f>
        <v>1150000</v>
      </c>
    </row>
    <row r="227" spans="2:9" ht="15.75" x14ac:dyDescent="0.25">
      <c r="B227" s="123" t="str">
        <f ca="1">IFERROR(__xludf.DUMMYFUNCTION("""COMPUTED_VALUE"""),"круг")</f>
        <v>круг</v>
      </c>
      <c r="C227" s="133" t="str">
        <f ca="1">IFERROR(__xludf.DUMMYFUNCTION("""COMPUTED_VALUE"""),"07х16н4Б")</f>
        <v>07х16н4Б</v>
      </c>
      <c r="D227" s="124">
        <f ca="1">IFERROR(__xludf.DUMMYFUNCTION("""COMPUTED_VALUE"""),480)</f>
        <v>480</v>
      </c>
      <c r="E227" s="124"/>
      <c r="F227" s="112" t="str">
        <f ca="1">IFERROR(__xludf.DUMMYFUNCTION("""COMPUTED_VALUE"""),"ГОСТ 5632/25054,  УЗК 4n,обточ, ков")</f>
        <v>ГОСТ 5632/25054,  УЗК 4n,обточ, ков</v>
      </c>
      <c r="G227" s="125">
        <f ca="1">IFERROR(__xludf.DUMMYFUNCTION("""COMPUTED_VALUE"""),1.791)</f>
        <v>1.7909999999999999</v>
      </c>
      <c r="H227" s="125"/>
      <c r="I227" s="131">
        <f ca="1">IFERROR(__xludf.DUMMYFUNCTION("""COMPUTED_VALUE"""),1100000)</f>
        <v>1100000</v>
      </c>
    </row>
    <row r="228" spans="2:9" ht="15.75" x14ac:dyDescent="0.25">
      <c r="B228" s="123" t="str">
        <f ca="1">IFERROR(__xludf.DUMMYFUNCTION("""COMPUTED_VALUE"""),"круг")</f>
        <v>круг</v>
      </c>
      <c r="C228" s="133" t="str">
        <f ca="1">IFERROR(__xludf.DUMMYFUNCTION("""COMPUTED_VALUE"""),"07х16н4Б")</f>
        <v>07х16н4Б</v>
      </c>
      <c r="D228" s="124">
        <f ca="1">IFERROR(__xludf.DUMMYFUNCTION("""COMPUTED_VALUE"""),480)</f>
        <v>480</v>
      </c>
      <c r="E228" s="124"/>
      <c r="F228" s="112" t="str">
        <f ca="1">IFERROR(__xludf.DUMMYFUNCTION("""COMPUTED_VALUE"""),"ГОСТ 5632/25054,  УЗК 4n,обточ, ков")</f>
        <v>ГОСТ 5632/25054,  УЗК 4n,обточ, ков</v>
      </c>
      <c r="G228" s="125">
        <f ca="1">IFERROR(__xludf.DUMMYFUNCTION("""COMPUTED_VALUE"""),2.465)</f>
        <v>2.4649999999999999</v>
      </c>
      <c r="H228" s="125"/>
      <c r="I228" s="131">
        <f ca="1">IFERROR(__xludf.DUMMYFUNCTION("""COMPUTED_VALUE"""),1100000)</f>
        <v>1100000</v>
      </c>
    </row>
    <row r="229" spans="2:9" ht="15.75" x14ac:dyDescent="0.25">
      <c r="B229" s="123" t="str">
        <f ca="1">IFERROR(__xludf.DUMMYFUNCTION("""COMPUTED_VALUE"""),"Круг")</f>
        <v>Круг</v>
      </c>
      <c r="C229" s="133" t="str">
        <f ca="1">IFERROR(__xludf.DUMMYFUNCTION("""COMPUTED_VALUE"""),"07Х21Г7АН5-Ш (ЭП222Ш)")</f>
        <v>07Х21Г7АН5-Ш (ЭП222Ш)</v>
      </c>
      <c r="D229" s="124">
        <f ca="1">IFERROR(__xludf.DUMMYFUNCTION("""COMPUTED_VALUE"""),30)</f>
        <v>30</v>
      </c>
      <c r="E229" s="124"/>
      <c r="F229" s="112" t="str">
        <f ca="1">IFERROR(__xludf.DUMMYFUNCTION("""COMPUTED_VALUE"""),"2590/14-1-952 , УЗК ,РТТ")</f>
        <v>2590/14-1-952 , УЗК ,РТТ</v>
      </c>
      <c r="G229" s="125">
        <f ca="1">IFERROR(__xludf.DUMMYFUNCTION("""COMPUTED_VALUE"""),0.472)</f>
        <v>0.47199999999999998</v>
      </c>
      <c r="H229" s="125"/>
      <c r="I229" s="131">
        <f ca="1">IFERROR(__xludf.DUMMYFUNCTION("""COMPUTED_VALUE"""),1750000)</f>
        <v>1750000</v>
      </c>
    </row>
    <row r="230" spans="2:9" ht="15.75" x14ac:dyDescent="0.25">
      <c r="B230" s="123" t="str">
        <f ca="1">IFERROR(__xludf.DUMMYFUNCTION("""COMPUTED_VALUE"""),"Круг")</f>
        <v>Круг</v>
      </c>
      <c r="C230" s="133" t="str">
        <f ca="1">IFERROR(__xludf.DUMMYFUNCTION("""COMPUTED_VALUE"""),"07Х21Г7АН5-Ш (ЭП222Ш)")</f>
        <v>07Х21Г7АН5-Ш (ЭП222Ш)</v>
      </c>
      <c r="D230" s="124">
        <f ca="1">IFERROR(__xludf.DUMMYFUNCTION("""COMPUTED_VALUE"""),32)</f>
        <v>32</v>
      </c>
      <c r="E230" s="124"/>
      <c r="F230" s="112" t="str">
        <f ca="1">IFERROR(__xludf.DUMMYFUNCTION("""COMPUTED_VALUE"""),"2590/14-1-952 , УЗК ,РТТ")</f>
        <v>2590/14-1-952 , УЗК ,РТТ</v>
      </c>
      <c r="G230" s="125">
        <f ca="1">IFERROR(__xludf.DUMMYFUNCTION("""COMPUTED_VALUE"""),0.5)</f>
        <v>0.5</v>
      </c>
      <c r="H230" s="125"/>
      <c r="I230" s="131">
        <f ca="1">IFERROR(__xludf.DUMMYFUNCTION("""COMPUTED_VALUE"""),1750000)</f>
        <v>1750000</v>
      </c>
    </row>
    <row r="231" spans="2:9" ht="15.75" x14ac:dyDescent="0.25">
      <c r="B231" s="123" t="str">
        <f ca="1">IFERROR(__xludf.DUMMYFUNCTION("""COMPUTED_VALUE"""),"Круг")</f>
        <v>Круг</v>
      </c>
      <c r="C231" s="133" t="str">
        <f ca="1">IFERROR(__xludf.DUMMYFUNCTION("""COMPUTED_VALUE"""),"07Х21Г7АН5-Ш (ЭП222Ш)")</f>
        <v>07Х21Г7АН5-Ш (ЭП222Ш)</v>
      </c>
      <c r="D231" s="124">
        <f ca="1">IFERROR(__xludf.DUMMYFUNCTION("""COMPUTED_VALUE"""),36)</f>
        <v>36</v>
      </c>
      <c r="E231" s="124"/>
      <c r="F231" s="112" t="str">
        <f ca="1">IFERROR(__xludf.DUMMYFUNCTION("""COMPUTED_VALUE"""),"2590/14-1-952 , УЗК ,РТТ")</f>
        <v>2590/14-1-952 , УЗК ,РТТ</v>
      </c>
      <c r="G231" s="125">
        <f ca="1">IFERROR(__xludf.DUMMYFUNCTION("""COMPUTED_VALUE"""),0.5)</f>
        <v>0.5</v>
      </c>
      <c r="H231" s="125"/>
      <c r="I231" s="131">
        <f ca="1">IFERROR(__xludf.DUMMYFUNCTION("""COMPUTED_VALUE"""),1750000)</f>
        <v>1750000</v>
      </c>
    </row>
    <row r="232" spans="2:9" ht="15.75" x14ac:dyDescent="0.25">
      <c r="B232" s="123" t="str">
        <f ca="1">IFERROR(__xludf.DUMMYFUNCTION("""COMPUTED_VALUE"""),"Круг")</f>
        <v>Круг</v>
      </c>
      <c r="C232" s="133" t="str">
        <f ca="1">IFERROR(__xludf.DUMMYFUNCTION("""COMPUTED_VALUE"""),"07Х21Г7АН5-Ш (ЭП222Ш)")</f>
        <v>07Х21Г7АН5-Ш (ЭП222Ш)</v>
      </c>
      <c r="D232" s="124">
        <f ca="1">IFERROR(__xludf.DUMMYFUNCTION("""COMPUTED_VALUE"""),40)</f>
        <v>40</v>
      </c>
      <c r="E232" s="124"/>
      <c r="F232" s="112" t="str">
        <f ca="1">IFERROR(__xludf.DUMMYFUNCTION("""COMPUTED_VALUE"""),"2590/14-1-952 , УЗК ,РТТ")</f>
        <v>2590/14-1-952 , УЗК ,РТТ</v>
      </c>
      <c r="G232" s="125">
        <f ca="1">IFERROR(__xludf.DUMMYFUNCTION("""COMPUTED_VALUE"""),1)</f>
        <v>1</v>
      </c>
      <c r="H232" s="125"/>
      <c r="I232" s="131">
        <f ca="1">IFERROR(__xludf.DUMMYFUNCTION("""COMPUTED_VALUE"""),1750000)</f>
        <v>1750000</v>
      </c>
    </row>
    <row r="233" spans="2:9" ht="15.75" x14ac:dyDescent="0.25">
      <c r="B233" s="123" t="str">
        <f ca="1">IFERROR(__xludf.DUMMYFUNCTION("""COMPUTED_VALUE"""),"Круг")</f>
        <v>Круг</v>
      </c>
      <c r="C233" s="133" t="str">
        <f ca="1">IFERROR(__xludf.DUMMYFUNCTION("""COMPUTED_VALUE"""),"07Х21Г7АН5-Ш (ЭП222Ш)")</f>
        <v>07Х21Г7АН5-Ш (ЭП222Ш)</v>
      </c>
      <c r="D233" s="124">
        <f ca="1">IFERROR(__xludf.DUMMYFUNCTION("""COMPUTED_VALUE"""),45)</f>
        <v>45</v>
      </c>
      <c r="E233" s="124"/>
      <c r="F233" s="112" t="str">
        <f ca="1">IFERROR(__xludf.DUMMYFUNCTION("""COMPUTED_VALUE"""),"2590/14-1-952 , УЗК ,РТТ")</f>
        <v>2590/14-1-952 , УЗК ,РТТ</v>
      </c>
      <c r="G233" s="125">
        <f ca="1">IFERROR(__xludf.DUMMYFUNCTION("""COMPUTED_VALUE"""),1)</f>
        <v>1</v>
      </c>
      <c r="H233" s="125"/>
      <c r="I233" s="131">
        <f ca="1">IFERROR(__xludf.DUMMYFUNCTION("""COMPUTED_VALUE"""),1750000)</f>
        <v>1750000</v>
      </c>
    </row>
    <row r="234" spans="2:9" ht="15.75" x14ac:dyDescent="0.25">
      <c r="B234" s="123" t="str">
        <f ca="1">IFERROR(__xludf.DUMMYFUNCTION("""COMPUTED_VALUE"""),"Круг")</f>
        <v>Круг</v>
      </c>
      <c r="C234" s="133" t="str">
        <f ca="1">IFERROR(__xludf.DUMMYFUNCTION("""COMPUTED_VALUE"""),"07Х21Г7АН5-Ш (ЭП222Ш)")</f>
        <v>07Х21Г7АН5-Ш (ЭП222Ш)</v>
      </c>
      <c r="D234" s="124">
        <f ca="1">IFERROR(__xludf.DUMMYFUNCTION("""COMPUTED_VALUE"""),50)</f>
        <v>50</v>
      </c>
      <c r="E234" s="124"/>
      <c r="F234" s="112" t="str">
        <f ca="1">IFERROR(__xludf.DUMMYFUNCTION("""COMPUTED_VALUE"""),"2590/14-1-952 , УЗК ,РТТ")</f>
        <v>2590/14-1-952 , УЗК ,РТТ</v>
      </c>
      <c r="G234" s="125">
        <f ca="1">IFERROR(__xludf.DUMMYFUNCTION("""COMPUTED_VALUE"""),0.97)</f>
        <v>0.97</v>
      </c>
      <c r="H234" s="125"/>
      <c r="I234" s="131">
        <f ca="1">IFERROR(__xludf.DUMMYFUNCTION("""COMPUTED_VALUE"""),1750000)</f>
        <v>1750000</v>
      </c>
    </row>
    <row r="235" spans="2:9" ht="15.75" x14ac:dyDescent="0.25">
      <c r="B235" s="123" t="str">
        <f ca="1">IFERROR(__xludf.DUMMYFUNCTION("""COMPUTED_VALUE"""),"Круг")</f>
        <v>Круг</v>
      </c>
      <c r="C235" s="133" t="str">
        <f ca="1">IFERROR(__xludf.DUMMYFUNCTION("""COMPUTED_VALUE"""),"07Х21Г7АН5-Ш (ЭП222Ш)")</f>
        <v>07Х21Г7АН5-Ш (ЭП222Ш)</v>
      </c>
      <c r="D235" s="124">
        <f ca="1">IFERROR(__xludf.DUMMYFUNCTION("""COMPUTED_VALUE"""),56)</f>
        <v>56</v>
      </c>
      <c r="E235" s="124"/>
      <c r="F235" s="112" t="str">
        <f ca="1">IFERROR(__xludf.DUMMYFUNCTION("""COMPUTED_VALUE"""),"2590/14-1-952 , УЗК ,РТТ")</f>
        <v>2590/14-1-952 , УЗК ,РТТ</v>
      </c>
      <c r="G235" s="125">
        <f ca="1">IFERROR(__xludf.DUMMYFUNCTION("""COMPUTED_VALUE"""),1.099)</f>
        <v>1.099</v>
      </c>
      <c r="H235" s="125"/>
      <c r="I235" s="131">
        <f ca="1">IFERROR(__xludf.DUMMYFUNCTION("""COMPUTED_VALUE"""),1750000)</f>
        <v>1750000</v>
      </c>
    </row>
    <row r="236" spans="2:9" ht="15.75" x14ac:dyDescent="0.25">
      <c r="B236" s="123" t="str">
        <f ca="1">IFERROR(__xludf.DUMMYFUNCTION("""COMPUTED_VALUE"""),"Круг")</f>
        <v>Круг</v>
      </c>
      <c r="C236" s="133" t="str">
        <f ca="1">IFERROR(__xludf.DUMMYFUNCTION("""COMPUTED_VALUE"""),"07Х21Г7АН5-Ш (ЭП222Ш)")</f>
        <v>07Х21Г7АН5-Ш (ЭП222Ш)</v>
      </c>
      <c r="D236" s="124">
        <f ca="1">IFERROR(__xludf.DUMMYFUNCTION("""COMPUTED_VALUE"""),60)</f>
        <v>60</v>
      </c>
      <c r="E236" s="124"/>
      <c r="F236" s="112" t="str">
        <f ca="1">IFERROR(__xludf.DUMMYFUNCTION("""COMPUTED_VALUE"""),"1133/14-1-952 , УЗК ,РТТ")</f>
        <v>1133/14-1-952 , УЗК ,РТТ</v>
      </c>
      <c r="G236" s="125">
        <f ca="1">IFERROR(__xludf.DUMMYFUNCTION("""COMPUTED_VALUE"""),1.413)</f>
        <v>1.413</v>
      </c>
      <c r="H236" s="125"/>
      <c r="I236" s="131">
        <f ca="1">IFERROR(__xludf.DUMMYFUNCTION("""COMPUTED_VALUE"""),1600000)</f>
        <v>1600000</v>
      </c>
    </row>
    <row r="237" spans="2:9" ht="15.75" x14ac:dyDescent="0.25">
      <c r="B237" s="123" t="str">
        <f ca="1">IFERROR(__xludf.DUMMYFUNCTION("""COMPUTED_VALUE"""),"Круг")</f>
        <v>Круг</v>
      </c>
      <c r="C237" s="133" t="str">
        <f ca="1">IFERROR(__xludf.DUMMYFUNCTION("""COMPUTED_VALUE"""),"07Х21Г7АН5-Ш (ЭП222Ш)")</f>
        <v>07Х21Г7АН5-Ш (ЭП222Ш)</v>
      </c>
      <c r="D237" s="124">
        <f ca="1">IFERROR(__xludf.DUMMYFUNCTION("""COMPUTED_VALUE"""),65)</f>
        <v>65</v>
      </c>
      <c r="E237" s="124"/>
      <c r="F237" s="112" t="str">
        <f ca="1">IFERROR(__xludf.DUMMYFUNCTION("""COMPUTED_VALUE"""),"1133/14-1-952 , УЗК ,РТТ")</f>
        <v>1133/14-1-952 , УЗК ,РТТ</v>
      </c>
      <c r="G237" s="125">
        <f ca="1">IFERROR(__xludf.DUMMYFUNCTION("""COMPUTED_VALUE"""),1.172)</f>
        <v>1.1719999999999999</v>
      </c>
      <c r="H237" s="125"/>
      <c r="I237" s="131">
        <f ca="1">IFERROR(__xludf.DUMMYFUNCTION("""COMPUTED_VALUE"""),1600000)</f>
        <v>1600000</v>
      </c>
    </row>
    <row r="238" spans="2:9" ht="15.75" x14ac:dyDescent="0.25">
      <c r="B238" s="123" t="str">
        <f ca="1">IFERROR(__xludf.DUMMYFUNCTION("""COMPUTED_VALUE"""),"Круг")</f>
        <v>Круг</v>
      </c>
      <c r="C238" s="133" t="str">
        <f ca="1">IFERROR(__xludf.DUMMYFUNCTION("""COMPUTED_VALUE"""),"07Х21Г7АН5-Ш (ЭП222Ш)")</f>
        <v>07Х21Г7АН5-Ш (ЭП222Ш)</v>
      </c>
      <c r="D238" s="124">
        <f ca="1">IFERROR(__xludf.DUMMYFUNCTION("""COMPUTED_VALUE"""),70)</f>
        <v>70</v>
      </c>
      <c r="E238" s="124"/>
      <c r="F238" s="112" t="str">
        <f ca="1">IFERROR(__xludf.DUMMYFUNCTION("""COMPUTED_VALUE"""),"1133/14-1-952 , УЗК ,РТТ")</f>
        <v>1133/14-1-952 , УЗК ,РТТ</v>
      </c>
      <c r="G238" s="125">
        <f ca="1">IFERROR(__xludf.DUMMYFUNCTION("""COMPUTED_VALUE"""),1.379)</f>
        <v>1.379</v>
      </c>
      <c r="H238" s="125"/>
      <c r="I238" s="131">
        <f ca="1">IFERROR(__xludf.DUMMYFUNCTION("""COMPUTED_VALUE"""),1600000)</f>
        <v>1600000</v>
      </c>
    </row>
    <row r="239" spans="2:9" ht="15.75" x14ac:dyDescent="0.25">
      <c r="B239" s="123" t="str">
        <f ca="1">IFERROR(__xludf.DUMMYFUNCTION("""COMPUTED_VALUE"""),"Круг")</f>
        <v>Круг</v>
      </c>
      <c r="C239" s="133" t="str">
        <f ca="1">IFERROR(__xludf.DUMMYFUNCTION("""COMPUTED_VALUE"""),"07Х21Г7АН5-Ш (ЭП222Ш)")</f>
        <v>07Х21Г7АН5-Ш (ЭП222Ш)</v>
      </c>
      <c r="D239" s="124">
        <f ca="1">IFERROR(__xludf.DUMMYFUNCTION("""COMPUTED_VALUE"""),75)</f>
        <v>75</v>
      </c>
      <c r="E239" s="124"/>
      <c r="F239" s="112" t="str">
        <f ca="1">IFERROR(__xludf.DUMMYFUNCTION("""COMPUTED_VALUE"""),"1133/14-1-952 , УЗК ,РТТ")</f>
        <v>1133/14-1-952 , УЗК ,РТТ</v>
      </c>
      <c r="G239" s="125">
        <f ca="1">IFERROR(__xludf.DUMMYFUNCTION("""COMPUTED_VALUE"""),1.245)</f>
        <v>1.2450000000000001</v>
      </c>
      <c r="H239" s="125"/>
      <c r="I239" s="131">
        <f ca="1">IFERROR(__xludf.DUMMYFUNCTION("""COMPUTED_VALUE"""),1600000)</f>
        <v>1600000</v>
      </c>
    </row>
    <row r="240" spans="2:9" ht="15.75" x14ac:dyDescent="0.25">
      <c r="B240" s="123" t="str">
        <f ca="1">IFERROR(__xludf.DUMMYFUNCTION("""COMPUTED_VALUE"""),"Круг")</f>
        <v>Круг</v>
      </c>
      <c r="C240" s="133" t="str">
        <f ca="1">IFERROR(__xludf.DUMMYFUNCTION("""COMPUTED_VALUE"""),"07Х21Г7АН5-Ш (ЭП222Ш)")</f>
        <v>07Х21Г7АН5-Ш (ЭП222Ш)</v>
      </c>
      <c r="D240" s="124">
        <f ca="1">IFERROR(__xludf.DUMMYFUNCTION("""COMPUTED_VALUE"""),80)</f>
        <v>80</v>
      </c>
      <c r="E240" s="124"/>
      <c r="F240" s="112" t="str">
        <f ca="1">IFERROR(__xludf.DUMMYFUNCTION("""COMPUTED_VALUE"""),"1133/14-1-952 , УЗК ,РТТ")</f>
        <v>1133/14-1-952 , УЗК ,РТТ</v>
      </c>
      <c r="G240" s="125">
        <f ca="1">IFERROR(__xludf.DUMMYFUNCTION("""COMPUTED_VALUE"""),1.339)</f>
        <v>1.339</v>
      </c>
      <c r="H240" s="125"/>
      <c r="I240" s="131">
        <f ca="1">IFERROR(__xludf.DUMMYFUNCTION("""COMPUTED_VALUE"""),1600000)</f>
        <v>1600000</v>
      </c>
    </row>
    <row r="241" spans="2:9" ht="15.75" x14ac:dyDescent="0.25">
      <c r="B241" s="123" t="str">
        <f ca="1">IFERROR(__xludf.DUMMYFUNCTION("""COMPUTED_VALUE"""),"Круг")</f>
        <v>Круг</v>
      </c>
      <c r="C241" s="133" t="str">
        <f ca="1">IFERROR(__xludf.DUMMYFUNCTION("""COMPUTED_VALUE"""),"07Х21Г7АН5-Ш (ЭП222Ш)")</f>
        <v>07Х21Г7АН5-Ш (ЭП222Ш)</v>
      </c>
      <c r="D241" s="124">
        <f ca="1">IFERROR(__xludf.DUMMYFUNCTION("""COMPUTED_VALUE"""),90)</f>
        <v>90</v>
      </c>
      <c r="E241" s="124"/>
      <c r="F241" s="112" t="str">
        <f ca="1">IFERROR(__xludf.DUMMYFUNCTION("""COMPUTED_VALUE"""),"1133/14-1-952 , УЗК ,РТТ")</f>
        <v>1133/14-1-952 , УЗК ,РТТ</v>
      </c>
      <c r="G241" s="125">
        <f ca="1">IFERROR(__xludf.DUMMYFUNCTION("""COMPUTED_VALUE"""),0.44)</f>
        <v>0.44</v>
      </c>
      <c r="H241" s="125"/>
      <c r="I241" s="131">
        <f ca="1">IFERROR(__xludf.DUMMYFUNCTION("""COMPUTED_VALUE"""),1600000)</f>
        <v>1600000</v>
      </c>
    </row>
    <row r="242" spans="2:9" ht="15.75" x14ac:dyDescent="0.25">
      <c r="B242" s="123" t="str">
        <f ca="1">IFERROR(__xludf.DUMMYFUNCTION("""COMPUTED_VALUE"""),"Круг")</f>
        <v>Круг</v>
      </c>
      <c r="C242" s="133" t="str">
        <f ca="1">IFERROR(__xludf.DUMMYFUNCTION("""COMPUTED_VALUE"""),"07Х21Г7АН5-Ш (ЭП222Ш)")</f>
        <v>07Х21Г7АН5-Ш (ЭП222Ш)</v>
      </c>
      <c r="D242" s="124">
        <f ca="1">IFERROR(__xludf.DUMMYFUNCTION("""COMPUTED_VALUE"""),90)</f>
        <v>90</v>
      </c>
      <c r="E242" s="124"/>
      <c r="F242" s="112" t="str">
        <f ca="1">IFERROR(__xludf.DUMMYFUNCTION("""COMPUTED_VALUE"""),"1133/14-1-952 , УЗК ,РТТ")</f>
        <v>1133/14-1-952 , УЗК ,РТТ</v>
      </c>
      <c r="G242" s="125">
        <f ca="1">IFERROR(__xludf.DUMMYFUNCTION("""COMPUTED_VALUE"""),0.666)</f>
        <v>0.66600000000000004</v>
      </c>
      <c r="H242" s="125"/>
      <c r="I242" s="131">
        <f ca="1">IFERROR(__xludf.DUMMYFUNCTION("""COMPUTED_VALUE"""),1600000)</f>
        <v>1600000</v>
      </c>
    </row>
    <row r="243" spans="2:9" ht="15.75" x14ac:dyDescent="0.25">
      <c r="B243" s="123" t="str">
        <f ca="1">IFERROR(__xludf.DUMMYFUNCTION("""COMPUTED_VALUE"""),"Круг")</f>
        <v>Круг</v>
      </c>
      <c r="C243" s="133" t="str">
        <f ca="1">IFERROR(__xludf.DUMMYFUNCTION("""COMPUTED_VALUE"""),"07Х21Г7АН5-Ш (ЭП222Ш)")</f>
        <v>07Х21Г7АН5-Ш (ЭП222Ш)</v>
      </c>
      <c r="D243" s="124">
        <f ca="1">IFERROR(__xludf.DUMMYFUNCTION("""COMPUTED_VALUE"""),100)</f>
        <v>100</v>
      </c>
      <c r="E243" s="124"/>
      <c r="F243" s="112" t="str">
        <f ca="1">IFERROR(__xludf.DUMMYFUNCTION("""COMPUTED_VALUE"""),"1133/14-1-952 , УЗК ,РТТ")</f>
        <v>1133/14-1-952 , УЗК ,РТТ</v>
      </c>
      <c r="G243" s="125">
        <f ca="1">IFERROR(__xludf.DUMMYFUNCTION("""COMPUTED_VALUE"""),0.223)</f>
        <v>0.223</v>
      </c>
      <c r="H243" s="125"/>
      <c r="I243" s="131">
        <f ca="1">IFERROR(__xludf.DUMMYFUNCTION("""COMPUTED_VALUE"""),1600000)</f>
        <v>1600000</v>
      </c>
    </row>
    <row r="244" spans="2:9" ht="15.75" x14ac:dyDescent="0.25">
      <c r="B244" s="123" t="str">
        <f ca="1">IFERROR(__xludf.DUMMYFUNCTION("""COMPUTED_VALUE"""),"Круг")</f>
        <v>Круг</v>
      </c>
      <c r="C244" s="133" t="str">
        <f ca="1">IFERROR(__xludf.DUMMYFUNCTION("""COMPUTED_VALUE"""),"07Х21Г7АН5-Ш (ЭП222Ш)")</f>
        <v>07Х21Г7АН5-Ш (ЭП222Ш)</v>
      </c>
      <c r="D244" s="124">
        <f ca="1">IFERROR(__xludf.DUMMYFUNCTION("""COMPUTED_VALUE"""),100)</f>
        <v>100</v>
      </c>
      <c r="E244" s="124"/>
      <c r="F244" s="112" t="str">
        <f ca="1">IFERROR(__xludf.DUMMYFUNCTION("""COMPUTED_VALUE"""),"1133/14-1-952 , УЗК ,РТТ")</f>
        <v>1133/14-1-952 , УЗК ,РТТ</v>
      </c>
      <c r="G244" s="125">
        <f ca="1">IFERROR(__xludf.DUMMYFUNCTION("""COMPUTED_VALUE"""),0.472)</f>
        <v>0.47199999999999998</v>
      </c>
      <c r="H244" s="125"/>
      <c r="I244" s="131">
        <f ca="1">IFERROR(__xludf.DUMMYFUNCTION("""COMPUTED_VALUE"""),1600000)</f>
        <v>1600000</v>
      </c>
    </row>
    <row r="245" spans="2:9" ht="15.75" x14ac:dyDescent="0.25">
      <c r="B245" s="123" t="str">
        <f ca="1">IFERROR(__xludf.DUMMYFUNCTION("""COMPUTED_VALUE"""),"Круг")</f>
        <v>Круг</v>
      </c>
      <c r="C245" s="133" t="str">
        <f ca="1">IFERROR(__xludf.DUMMYFUNCTION("""COMPUTED_VALUE"""),"07Х21Г7АН5-Ш (ЭП222Ш)")</f>
        <v>07Х21Г7АН5-Ш (ЭП222Ш)</v>
      </c>
      <c r="D245" s="124">
        <f ca="1">IFERROR(__xludf.DUMMYFUNCTION("""COMPUTED_VALUE"""),100)</f>
        <v>100</v>
      </c>
      <c r="E245" s="124"/>
      <c r="F245" s="112" t="str">
        <f ca="1">IFERROR(__xludf.DUMMYFUNCTION("""COMPUTED_VALUE"""),"1133/14-1-952 , УЗК ,РТТ")</f>
        <v>1133/14-1-952 , УЗК ,РТТ</v>
      </c>
      <c r="G245" s="125">
        <f ca="1">IFERROR(__xludf.DUMMYFUNCTION("""COMPUTED_VALUE"""),0.703)</f>
        <v>0.70299999999999996</v>
      </c>
      <c r="H245" s="125"/>
      <c r="I245" s="131">
        <f ca="1">IFERROR(__xludf.DUMMYFUNCTION("""COMPUTED_VALUE"""),1600000)</f>
        <v>1600000</v>
      </c>
    </row>
    <row r="246" spans="2:9" ht="15.75" x14ac:dyDescent="0.25">
      <c r="B246" s="123" t="str">
        <f ca="1">IFERROR(__xludf.DUMMYFUNCTION("""COMPUTED_VALUE"""),"круг")</f>
        <v>круг</v>
      </c>
      <c r="C246" s="133" t="str">
        <f ca="1">IFERROR(__xludf.DUMMYFUNCTION("""COMPUTED_VALUE"""),"09Х16Н4Б -ш (ЭП56ш)")</f>
        <v>09Х16Н4Б -ш (ЭП56ш)</v>
      </c>
      <c r="D246" s="124">
        <f ca="1">IFERROR(__xludf.DUMMYFUNCTION("""COMPUTED_VALUE"""),10)</f>
        <v>10</v>
      </c>
      <c r="E246" s="124"/>
      <c r="F246" s="112" t="str">
        <f ca="1">IFERROR(__xludf.DUMMYFUNCTION("""COMPUTED_VALUE"""),"ТУ 14-1-463-73")</f>
        <v>ТУ 14-1-463-73</v>
      </c>
      <c r="G246" s="125">
        <f ca="1">IFERROR(__xludf.DUMMYFUNCTION("""COMPUTED_VALUE"""),0.4)</f>
        <v>0.4</v>
      </c>
      <c r="H246" s="125"/>
      <c r="I246" s="131">
        <f ca="1">IFERROR(__xludf.DUMMYFUNCTION("""COMPUTED_VALUE"""),1300000)</f>
        <v>1300000</v>
      </c>
    </row>
    <row r="247" spans="2:9" ht="15.75" x14ac:dyDescent="0.25">
      <c r="B247" s="123" t="str">
        <f ca="1">IFERROR(__xludf.DUMMYFUNCTION("""COMPUTED_VALUE"""),"круг")</f>
        <v>круг</v>
      </c>
      <c r="C247" s="133" t="str">
        <f ca="1">IFERROR(__xludf.DUMMYFUNCTION("""COMPUTED_VALUE"""),"09Х16Н4Б -ш (ЭП56ш)")</f>
        <v>09Х16Н4Б -ш (ЭП56ш)</v>
      </c>
      <c r="D247" s="124">
        <f ca="1">IFERROR(__xludf.DUMMYFUNCTION("""COMPUTED_VALUE"""),10)</f>
        <v>10</v>
      </c>
      <c r="E247" s="124"/>
      <c r="F247" s="112" t="str">
        <f ca="1">IFERROR(__xludf.DUMMYFUNCTION("""COMPUTED_VALUE"""),"ТУ 14-1-463-73, ГОСТ 2590 3гп РТТ")</f>
        <v>ТУ 14-1-463-73, ГОСТ 2590 3гп РТТ</v>
      </c>
      <c r="G247" s="125">
        <f ca="1">IFERROR(__xludf.DUMMYFUNCTION("""COMPUTED_VALUE"""),0.71)</f>
        <v>0.71</v>
      </c>
      <c r="H247" s="125"/>
      <c r="I247" s="131">
        <f ca="1">IFERROR(__xludf.DUMMYFUNCTION("""COMPUTED_VALUE"""),1300000)</f>
        <v>1300000</v>
      </c>
    </row>
    <row r="248" spans="2:9" ht="15.75" x14ac:dyDescent="0.25">
      <c r="B248" s="123" t="str">
        <f ca="1">IFERROR(__xludf.DUMMYFUNCTION("""COMPUTED_VALUE"""),"круг")</f>
        <v>круг</v>
      </c>
      <c r="C248" s="133" t="str">
        <f ca="1">IFERROR(__xludf.DUMMYFUNCTION("""COMPUTED_VALUE"""),"09Х16Н4Б -ш (ЭП56ш)")</f>
        <v>09Х16Н4Б -ш (ЭП56ш)</v>
      </c>
      <c r="D248" s="124">
        <f ca="1">IFERROR(__xludf.DUMMYFUNCTION("""COMPUTED_VALUE"""),20)</f>
        <v>20</v>
      </c>
      <c r="E248" s="124"/>
      <c r="F248" s="112" t="str">
        <f ca="1">IFERROR(__xludf.DUMMYFUNCTION("""COMPUTED_VALUE"""),"ТУ 14-1-463-73, ГОСТ 2590 3гп без РТТ")</f>
        <v>ТУ 14-1-463-73, ГОСТ 2590 3гп без РТТ</v>
      </c>
      <c r="G248" s="125">
        <f ca="1">IFERROR(__xludf.DUMMYFUNCTION("""COMPUTED_VALUE"""),1.056)</f>
        <v>1.056</v>
      </c>
      <c r="H248" s="125"/>
      <c r="I248" s="131">
        <f ca="1">IFERROR(__xludf.DUMMYFUNCTION("""COMPUTED_VALUE"""),1200000)</f>
        <v>1200000</v>
      </c>
    </row>
    <row r="249" spans="2:9" ht="15.75" x14ac:dyDescent="0.25">
      <c r="B249" s="123" t="str">
        <f ca="1">IFERROR(__xludf.DUMMYFUNCTION("""COMPUTED_VALUE"""),"круг")</f>
        <v>круг</v>
      </c>
      <c r="C249" s="133" t="str">
        <f ca="1">IFERROR(__xludf.DUMMYFUNCTION("""COMPUTED_VALUE"""),"09Х16Н4Б -ш (ЭП56ш)")</f>
        <v>09Х16Н4Б -ш (ЭП56ш)</v>
      </c>
      <c r="D249" s="124">
        <f ca="1">IFERROR(__xludf.DUMMYFUNCTION("""COMPUTED_VALUE"""),36)</f>
        <v>36</v>
      </c>
      <c r="E249" s="124"/>
      <c r="F249" s="112" t="str">
        <f ca="1">IFERROR(__xludf.DUMMYFUNCTION("""COMPUTED_VALUE"""),"ТУ 14-1-463-73, ГОСТ 2590 3гп РТТ")</f>
        <v>ТУ 14-1-463-73, ГОСТ 2590 3гп РТТ</v>
      </c>
      <c r="G249" s="125">
        <f ca="1">IFERROR(__xludf.DUMMYFUNCTION("""COMPUTED_VALUE"""),1.637)</f>
        <v>1.637</v>
      </c>
      <c r="H249" s="125"/>
      <c r="I249" s="131">
        <f ca="1">IFERROR(__xludf.DUMMYFUNCTION("""COMPUTED_VALUE"""),1300000)</f>
        <v>1300000</v>
      </c>
    </row>
    <row r="250" spans="2:9" ht="15.75" x14ac:dyDescent="0.25">
      <c r="B250" s="123" t="str">
        <f ca="1">IFERROR(__xludf.DUMMYFUNCTION("""COMPUTED_VALUE"""),"круг")</f>
        <v>круг</v>
      </c>
      <c r="C250" s="133" t="str">
        <f ca="1">IFERROR(__xludf.DUMMYFUNCTION("""COMPUTED_VALUE"""),"09Х16Н4Б -ш (ЭП56ш)")</f>
        <v>09Х16Н4Б -ш (ЭП56ш)</v>
      </c>
      <c r="D250" s="124">
        <f ca="1">IFERROR(__xludf.DUMMYFUNCTION("""COMPUTED_VALUE"""),40)</f>
        <v>40</v>
      </c>
      <c r="E250" s="124"/>
      <c r="F250" s="112" t="str">
        <f ca="1">IFERROR(__xludf.DUMMYFUNCTION("""COMPUTED_VALUE"""),"ТУ 14-1-463-73, ГОСТ 2590 3гп РТТ")</f>
        <v>ТУ 14-1-463-73, ГОСТ 2590 3гп РТТ</v>
      </c>
      <c r="G250" s="125">
        <f ca="1">IFERROR(__xludf.DUMMYFUNCTION("""COMPUTED_VALUE"""),1.91)</f>
        <v>1.91</v>
      </c>
      <c r="H250" s="125"/>
      <c r="I250" s="131">
        <f ca="1">IFERROR(__xludf.DUMMYFUNCTION("""COMPUTED_VALUE"""),1300000)</f>
        <v>1300000</v>
      </c>
    </row>
    <row r="251" spans="2:9" ht="15.75" x14ac:dyDescent="0.25">
      <c r="B251" s="123" t="str">
        <f ca="1">IFERROR(__xludf.DUMMYFUNCTION("""COMPUTED_VALUE"""),"круг")</f>
        <v>круг</v>
      </c>
      <c r="C251" s="133" t="str">
        <f ca="1">IFERROR(__xludf.DUMMYFUNCTION("""COMPUTED_VALUE"""),"09Х16Н4Б -ш (ЭП56ш)")</f>
        <v>09Х16Н4Б -ш (ЭП56ш)</v>
      </c>
      <c r="D251" s="124">
        <f ca="1">IFERROR(__xludf.DUMMYFUNCTION("""COMPUTED_VALUE"""),45)</f>
        <v>45</v>
      </c>
      <c r="E251" s="124"/>
      <c r="F251" s="112" t="str">
        <f ca="1">IFERROR(__xludf.DUMMYFUNCTION("""COMPUTED_VALUE"""),"ТУ 14-1-463-73, ГОСТ 2590 3гп РТТ")</f>
        <v>ТУ 14-1-463-73, ГОСТ 2590 3гп РТТ</v>
      </c>
      <c r="G251" s="125">
        <f ca="1">IFERROR(__xludf.DUMMYFUNCTION("""COMPUTED_VALUE"""),1.887)</f>
        <v>1.887</v>
      </c>
      <c r="H251" s="125"/>
      <c r="I251" s="131">
        <f ca="1">IFERROR(__xludf.DUMMYFUNCTION("""COMPUTED_VALUE"""),1300000)</f>
        <v>1300000</v>
      </c>
    </row>
    <row r="252" spans="2:9" ht="15.75" x14ac:dyDescent="0.25">
      <c r="B252" s="123" t="str">
        <f ca="1">IFERROR(__xludf.DUMMYFUNCTION("""COMPUTED_VALUE"""),"круг")</f>
        <v>круг</v>
      </c>
      <c r="C252" s="133" t="str">
        <f ca="1">IFERROR(__xludf.DUMMYFUNCTION("""COMPUTED_VALUE"""),"09Х16Н4Б (ЭП56)")</f>
        <v>09Х16Н4Б (ЭП56)</v>
      </c>
      <c r="D252" s="124">
        <f ca="1">IFERROR(__xludf.DUMMYFUNCTION("""COMPUTED_VALUE"""),10)</f>
        <v>10</v>
      </c>
      <c r="E252" s="124"/>
      <c r="F252" s="112" t="str">
        <f ca="1">IFERROR(__xludf.DUMMYFUNCTION("""COMPUTED_VALUE"""),"ТУ 14-1-3564, ГОСТ 2590 отжиг, 3гп,")</f>
        <v>ТУ 14-1-3564, ГОСТ 2590 отжиг, 3гп,</v>
      </c>
      <c r="G252" s="125">
        <f ca="1">IFERROR(__xludf.DUMMYFUNCTION("""COMPUTED_VALUE"""),0.309)</f>
        <v>0.309</v>
      </c>
      <c r="H252" s="125"/>
      <c r="I252" s="131">
        <f ca="1">IFERROR(__xludf.DUMMYFUNCTION("""COMPUTED_VALUE"""),900000)</f>
        <v>900000</v>
      </c>
    </row>
    <row r="253" spans="2:9" ht="15.75" x14ac:dyDescent="0.25">
      <c r="B253" s="123" t="str">
        <f ca="1">IFERROR(__xludf.DUMMYFUNCTION("""COMPUTED_VALUE"""),"круг")</f>
        <v>круг</v>
      </c>
      <c r="C253" s="133" t="str">
        <f ca="1">IFERROR(__xludf.DUMMYFUNCTION("""COMPUTED_VALUE"""),"09Х16Н4Б (ЭП56)")</f>
        <v>09Х16Н4Б (ЭП56)</v>
      </c>
      <c r="D253" s="124">
        <f ca="1">IFERROR(__xludf.DUMMYFUNCTION("""COMPUTED_VALUE"""),10)</f>
        <v>10</v>
      </c>
      <c r="E253" s="124"/>
      <c r="F253" s="112" t="str">
        <f ca="1">IFERROR(__xludf.DUMMYFUNCTION("""COMPUTED_VALUE"""),"ту14-1-3564, РТТ, УЗК,2ГП, ")</f>
        <v xml:space="preserve">ту14-1-3564, РТТ, УЗК,2ГП, </v>
      </c>
      <c r="G253" s="125">
        <f ca="1">IFERROR(__xludf.DUMMYFUNCTION("""COMPUTED_VALUE"""),0.13)</f>
        <v>0.13</v>
      </c>
      <c r="H253" s="125"/>
      <c r="I253" s="131">
        <f ca="1">IFERROR(__xludf.DUMMYFUNCTION("""COMPUTED_VALUE"""),900000)</f>
        <v>900000</v>
      </c>
    </row>
    <row r="254" spans="2:9" ht="15.75" x14ac:dyDescent="0.25">
      <c r="B254" s="123" t="str">
        <f ca="1">IFERROR(__xludf.DUMMYFUNCTION("""COMPUTED_VALUE"""),"круг")</f>
        <v>круг</v>
      </c>
      <c r="C254" s="133" t="str">
        <f ca="1">IFERROR(__xludf.DUMMYFUNCTION("""COMPUTED_VALUE"""),"09Х16Н4Б (ЭП56)")</f>
        <v>09Х16Н4Б (ЭП56)</v>
      </c>
      <c r="D254" s="124">
        <f ca="1">IFERROR(__xludf.DUMMYFUNCTION("""COMPUTED_VALUE"""),12)</f>
        <v>12</v>
      </c>
      <c r="E254" s="124"/>
      <c r="F254" s="112" t="str">
        <f ca="1">IFERROR(__xludf.DUMMYFUNCTION("""COMPUTED_VALUE"""),"ту14-1-3564, РТТ, УЗК,2ГП, ")</f>
        <v xml:space="preserve">ту14-1-3564, РТТ, УЗК,2ГП, </v>
      </c>
      <c r="G254" s="125">
        <f ca="1">IFERROR(__xludf.DUMMYFUNCTION("""COMPUTED_VALUE"""),1.2)</f>
        <v>1.2</v>
      </c>
      <c r="H254" s="125"/>
      <c r="I254" s="131">
        <f ca="1">IFERROR(__xludf.DUMMYFUNCTION("""COMPUTED_VALUE"""),680000)</f>
        <v>680000</v>
      </c>
    </row>
    <row r="255" spans="2:9" ht="15.75" x14ac:dyDescent="0.25">
      <c r="B255" s="123" t="str">
        <f ca="1">IFERROR(__xludf.DUMMYFUNCTION("""COMPUTED_VALUE"""),"круг")</f>
        <v>круг</v>
      </c>
      <c r="C255" s="133" t="str">
        <f ca="1">IFERROR(__xludf.DUMMYFUNCTION("""COMPUTED_VALUE"""),"09Х16Н4Б (ЭП56)")</f>
        <v>09Х16Н4Б (ЭП56)</v>
      </c>
      <c r="D255" s="124">
        <f ca="1">IFERROR(__xludf.DUMMYFUNCTION("""COMPUTED_VALUE"""),15)</f>
        <v>15</v>
      </c>
      <c r="E255" s="124"/>
      <c r="F255" s="112" t="str">
        <f ca="1">IFERROR(__xludf.DUMMYFUNCTION("""COMPUTED_VALUE"""),"ТУ 14-1-3564, ГОСТ 2590 отжиг, 3гп, КД-5201")</f>
        <v>ТУ 14-1-3564, ГОСТ 2590 отжиг, 3гп, КД-5201</v>
      </c>
      <c r="G255" s="125">
        <f ca="1">IFERROR(__xludf.DUMMYFUNCTION("""COMPUTED_VALUE"""),0.724999999999999)</f>
        <v>0.72499999999999898</v>
      </c>
      <c r="H255" s="125"/>
      <c r="I255" s="131">
        <f ca="1">IFERROR(__xludf.DUMMYFUNCTION("""COMPUTED_VALUE"""),850000)</f>
        <v>850000</v>
      </c>
    </row>
    <row r="256" spans="2:9" ht="15.75" x14ac:dyDescent="0.25">
      <c r="B256" s="123" t="str">
        <f ca="1">IFERROR(__xludf.DUMMYFUNCTION("""COMPUTED_VALUE"""),"круг")</f>
        <v>круг</v>
      </c>
      <c r="C256" s="133" t="str">
        <f ca="1">IFERROR(__xludf.DUMMYFUNCTION("""COMPUTED_VALUE"""),"09Х16Н4Б (ЭП56)")</f>
        <v>09Х16Н4Б (ЭП56)</v>
      </c>
      <c r="D256" s="124">
        <f ca="1">IFERROR(__xludf.DUMMYFUNCTION("""COMPUTED_VALUE"""),18)</f>
        <v>18</v>
      </c>
      <c r="E256" s="124"/>
      <c r="F256" s="112" t="str">
        <f ca="1">IFERROR(__xludf.DUMMYFUNCTION("""COMPUTED_VALUE"""),"ту14-1-3564, РТТ, УЗК,2ГП, ")</f>
        <v xml:space="preserve">ту14-1-3564, РТТ, УЗК,2ГП, </v>
      </c>
      <c r="G256" s="125">
        <f ca="1">IFERROR(__xludf.DUMMYFUNCTION("""COMPUTED_VALUE"""),1.2)</f>
        <v>1.2</v>
      </c>
      <c r="H256" s="125"/>
      <c r="I256" s="131">
        <f ca="1">IFERROR(__xludf.DUMMYFUNCTION("""COMPUTED_VALUE"""),680000)</f>
        <v>680000</v>
      </c>
    </row>
    <row r="257" spans="2:9" ht="15.75" x14ac:dyDescent="0.25">
      <c r="B257" s="123" t="str">
        <f ca="1">IFERROR(__xludf.DUMMYFUNCTION("""COMPUTED_VALUE"""),"круг")</f>
        <v>круг</v>
      </c>
      <c r="C257" s="133" t="str">
        <f ca="1">IFERROR(__xludf.DUMMYFUNCTION("""COMPUTED_VALUE"""),"09Х16Н4Б (ЭП56)")</f>
        <v>09Х16Н4Б (ЭП56)</v>
      </c>
      <c r="D257" s="124">
        <f ca="1">IFERROR(__xludf.DUMMYFUNCTION("""COMPUTED_VALUE"""),20)</f>
        <v>20</v>
      </c>
      <c r="E257" s="124"/>
      <c r="F257" s="112" t="str">
        <f ca="1">IFERROR(__xludf.DUMMYFUNCTION("""COMPUTED_VALUE"""),"ту14-1-3564, РТТ, УЗК,2ГП, ")</f>
        <v xml:space="preserve">ту14-1-3564, РТТ, УЗК,2ГП, </v>
      </c>
      <c r="G257" s="125">
        <f ca="1">IFERROR(__xludf.DUMMYFUNCTION("""COMPUTED_VALUE"""),2)</f>
        <v>2</v>
      </c>
      <c r="H257" s="125"/>
      <c r="I257" s="131">
        <f ca="1">IFERROR(__xludf.DUMMYFUNCTION("""COMPUTED_VALUE"""),680000)</f>
        <v>680000</v>
      </c>
    </row>
    <row r="258" spans="2:9" ht="15.75" x14ac:dyDescent="0.25">
      <c r="B258" s="123" t="str">
        <f ca="1">IFERROR(__xludf.DUMMYFUNCTION("""COMPUTED_VALUE"""),"круг")</f>
        <v>круг</v>
      </c>
      <c r="C258" s="133" t="str">
        <f ca="1">IFERROR(__xludf.DUMMYFUNCTION("""COMPUTED_VALUE"""),"09Х16Н4Б (ЭП56)")</f>
        <v>09Х16Н4Б (ЭП56)</v>
      </c>
      <c r="D258" s="124">
        <f ca="1">IFERROR(__xludf.DUMMYFUNCTION("""COMPUTED_VALUE"""),20)</f>
        <v>20</v>
      </c>
      <c r="E258" s="124"/>
      <c r="F258" s="112" t="str">
        <f ca="1">IFERROR(__xludf.DUMMYFUNCTION("""COMPUTED_VALUE"""),"ту14-1-3564, РТТ, УЗК,2ГП, ")</f>
        <v xml:space="preserve">ту14-1-3564, РТТ, УЗК,2ГП, </v>
      </c>
      <c r="G258" s="125">
        <f ca="1">IFERROR(__xludf.DUMMYFUNCTION("""COMPUTED_VALUE"""),1.5)</f>
        <v>1.5</v>
      </c>
      <c r="H258" s="125"/>
      <c r="I258" s="131">
        <f ca="1">IFERROR(__xludf.DUMMYFUNCTION("""COMPUTED_VALUE"""),850000)</f>
        <v>850000</v>
      </c>
    </row>
    <row r="259" spans="2:9" ht="15.75" x14ac:dyDescent="0.25">
      <c r="B259" s="123" t="str">
        <f ca="1">IFERROR(__xludf.DUMMYFUNCTION("""COMPUTED_VALUE"""),"круг")</f>
        <v>круг</v>
      </c>
      <c r="C259" s="133" t="str">
        <f ca="1">IFERROR(__xludf.DUMMYFUNCTION("""COMPUTED_VALUE"""),"09Х16Н4Б (ЭП56)")</f>
        <v>09Х16Н4Б (ЭП56)</v>
      </c>
      <c r="D259" s="124">
        <f ca="1">IFERROR(__xludf.DUMMYFUNCTION("""COMPUTED_VALUE"""),25)</f>
        <v>25</v>
      </c>
      <c r="E259" s="124"/>
      <c r="F259" s="112" t="str">
        <f ca="1">IFERROR(__xludf.DUMMYFUNCTION("""COMPUTED_VALUE"""),"ТУ 14-1-3564, ГОСТ 2590 отжиг, 3гп, КД-5203")</f>
        <v>ТУ 14-1-3564, ГОСТ 2590 отжиг, 3гп, КД-5203</v>
      </c>
      <c r="G259" s="125">
        <f ca="1">IFERROR(__xludf.DUMMYFUNCTION("""COMPUTED_VALUE"""),0.263)</f>
        <v>0.26300000000000001</v>
      </c>
      <c r="H259" s="125"/>
      <c r="I259" s="131">
        <f ca="1">IFERROR(__xludf.DUMMYFUNCTION("""COMPUTED_VALUE"""),850000)</f>
        <v>850000</v>
      </c>
    </row>
    <row r="260" spans="2:9" ht="15.75" x14ac:dyDescent="0.25">
      <c r="B260" s="123" t="str">
        <f ca="1">IFERROR(__xludf.DUMMYFUNCTION("""COMPUTED_VALUE"""),"круг")</f>
        <v>круг</v>
      </c>
      <c r="C260" s="133" t="str">
        <f ca="1">IFERROR(__xludf.DUMMYFUNCTION("""COMPUTED_VALUE"""),"09Х16Н4Б (ЭП56)")</f>
        <v>09Х16Н4Б (ЭП56)</v>
      </c>
      <c r="D260" s="124">
        <f ca="1">IFERROR(__xludf.DUMMYFUNCTION("""COMPUTED_VALUE"""),25)</f>
        <v>25</v>
      </c>
      <c r="E260" s="124"/>
      <c r="F260" s="112" t="str">
        <f ca="1">IFERROR(__xludf.DUMMYFUNCTION("""COMPUTED_VALUE"""),"ТУ 14-1-3564, ГОСТ 2590 отжиг, 3гп, КД-5203")</f>
        <v>ТУ 14-1-3564, ГОСТ 2590 отжиг, 3гп, КД-5203</v>
      </c>
      <c r="G260" s="125">
        <f ca="1">IFERROR(__xludf.DUMMYFUNCTION("""COMPUTED_VALUE"""),2.224)</f>
        <v>2.2240000000000002</v>
      </c>
      <c r="H260" s="125"/>
      <c r="I260" s="131">
        <f ca="1">IFERROR(__xludf.DUMMYFUNCTION("""COMPUTED_VALUE"""),850000)</f>
        <v>850000</v>
      </c>
    </row>
    <row r="261" spans="2:9" ht="15.75" x14ac:dyDescent="0.25">
      <c r="B261" s="123" t="str">
        <f ca="1">IFERROR(__xludf.DUMMYFUNCTION("""COMPUTED_VALUE"""),"круг")</f>
        <v>круг</v>
      </c>
      <c r="C261" s="133" t="str">
        <f ca="1">IFERROR(__xludf.DUMMYFUNCTION("""COMPUTED_VALUE"""),"09Х16Н4Б (ЭП56)")</f>
        <v>09Х16Н4Б (ЭП56)</v>
      </c>
      <c r="D261" s="124">
        <f ca="1">IFERROR(__xludf.DUMMYFUNCTION("""COMPUTED_VALUE"""),25)</f>
        <v>25</v>
      </c>
      <c r="E261" s="124"/>
      <c r="F261" s="112" t="str">
        <f ca="1">IFERROR(__xludf.DUMMYFUNCTION("""COMPUTED_VALUE"""),"ТУ 14-1-3564, ГОСТ 2590 АТП, ТО, узк, 3гп")</f>
        <v>ТУ 14-1-3564, ГОСТ 2590 АТП, ТО, узк, 3гп</v>
      </c>
      <c r="G261" s="125">
        <f ca="1">IFERROR(__xludf.DUMMYFUNCTION("""COMPUTED_VALUE"""),1.9)</f>
        <v>1.9</v>
      </c>
      <c r="H261" s="125"/>
      <c r="I261" s="131">
        <f ca="1">IFERROR(__xludf.DUMMYFUNCTION("""COMPUTED_VALUE"""),850000)</f>
        <v>850000</v>
      </c>
    </row>
    <row r="262" spans="2:9" ht="15.75" x14ac:dyDescent="0.25">
      <c r="B262" s="123" t="str">
        <f ca="1">IFERROR(__xludf.DUMMYFUNCTION("""COMPUTED_VALUE"""),"круг")</f>
        <v>круг</v>
      </c>
      <c r="C262" s="133" t="str">
        <f ca="1">IFERROR(__xludf.DUMMYFUNCTION("""COMPUTED_VALUE"""),"09Х16Н4Б (ЭП56)")</f>
        <v>09Х16Н4Б (ЭП56)</v>
      </c>
      <c r="D262" s="124">
        <f ca="1">IFERROR(__xludf.DUMMYFUNCTION("""COMPUTED_VALUE"""),25)</f>
        <v>25</v>
      </c>
      <c r="E262" s="124"/>
      <c r="F262" s="112" t="str">
        <f ca="1">IFERROR(__xludf.DUMMYFUNCTION("""COMPUTED_VALUE"""),"ТУ 14-1-3564, ГОСТ 2590 отжиг, 3гп, КД-5203")</f>
        <v>ТУ 14-1-3564, ГОСТ 2590 отжиг, 3гп, КД-5203</v>
      </c>
      <c r="G262" s="125">
        <f ca="1">IFERROR(__xludf.DUMMYFUNCTION("""COMPUTED_VALUE"""),0.544)</f>
        <v>0.54400000000000004</v>
      </c>
      <c r="H262" s="125"/>
      <c r="I262" s="131">
        <f ca="1">IFERROR(__xludf.DUMMYFUNCTION("""COMPUTED_VALUE"""),850000)</f>
        <v>850000</v>
      </c>
    </row>
    <row r="263" spans="2:9" ht="15.75" x14ac:dyDescent="0.25">
      <c r="B263" s="123" t="str">
        <f ca="1">IFERROR(__xludf.DUMMYFUNCTION("""COMPUTED_VALUE"""),"круг")</f>
        <v>круг</v>
      </c>
      <c r="C263" s="133" t="str">
        <f ca="1">IFERROR(__xludf.DUMMYFUNCTION("""COMPUTED_VALUE"""),"09Х16Н4Б (ЭП56)")</f>
        <v>09Х16Н4Б (ЭП56)</v>
      </c>
      <c r="D263" s="124">
        <f ca="1">IFERROR(__xludf.DUMMYFUNCTION("""COMPUTED_VALUE"""),25)</f>
        <v>25</v>
      </c>
      <c r="E263" s="124"/>
      <c r="F263" s="112" t="str">
        <f ca="1">IFERROR(__xludf.DUMMYFUNCTION("""COMPUTED_VALUE"""),"ТУ 14-1-3564, ГОСТ 2590 АТП, ТО, узк, 3гп")</f>
        <v>ТУ 14-1-3564, ГОСТ 2590 АТП, ТО, узк, 3гп</v>
      </c>
      <c r="G263" s="125">
        <f ca="1">IFERROR(__xludf.DUMMYFUNCTION("""COMPUTED_VALUE"""),0.472)</f>
        <v>0.47199999999999998</v>
      </c>
      <c r="H263" s="125"/>
      <c r="I263" s="131">
        <f ca="1">IFERROR(__xludf.DUMMYFUNCTION("""COMPUTED_VALUE"""),850000)</f>
        <v>850000</v>
      </c>
    </row>
    <row r="264" spans="2:9" ht="15.75" x14ac:dyDescent="0.25">
      <c r="B264" s="123" t="str">
        <f ca="1">IFERROR(__xludf.DUMMYFUNCTION("""COMPUTED_VALUE"""),"круг")</f>
        <v>круг</v>
      </c>
      <c r="C264" s="133" t="str">
        <f ca="1">IFERROR(__xludf.DUMMYFUNCTION("""COMPUTED_VALUE"""),"09Х16Н4Б (ЭП56)")</f>
        <v>09Х16Н4Б (ЭП56)</v>
      </c>
      <c r="D264" s="124">
        <f ca="1">IFERROR(__xludf.DUMMYFUNCTION("""COMPUTED_VALUE"""),30)</f>
        <v>30</v>
      </c>
      <c r="E264" s="124"/>
      <c r="F264" s="112" t="str">
        <f ca="1">IFERROR(__xludf.DUMMYFUNCTION("""COMPUTED_VALUE"""),"ту14-1-3564, РТТ, УЗК,2ГП, обточенный")</f>
        <v>ту14-1-3564, РТТ, УЗК,2ГП, обточенный</v>
      </c>
      <c r="G264" s="125">
        <f ca="1">IFERROR(__xludf.DUMMYFUNCTION("""COMPUTED_VALUE"""),0.224)</f>
        <v>0.224</v>
      </c>
      <c r="H264" s="125"/>
      <c r="I264" s="131">
        <f ca="1">IFERROR(__xludf.DUMMYFUNCTION("""COMPUTED_VALUE"""),680000)</f>
        <v>680000</v>
      </c>
    </row>
    <row r="265" spans="2:9" ht="15.75" x14ac:dyDescent="0.25">
      <c r="B265" s="123" t="str">
        <f ca="1">IFERROR(__xludf.DUMMYFUNCTION("""COMPUTED_VALUE"""),"круг")</f>
        <v>круг</v>
      </c>
      <c r="C265" s="133" t="str">
        <f ca="1">IFERROR(__xludf.DUMMYFUNCTION("""COMPUTED_VALUE"""),"09Х16Н4Б (ЭП56)")</f>
        <v>09Х16Н4Б (ЭП56)</v>
      </c>
      <c r="D265" s="124">
        <f ca="1">IFERROR(__xludf.DUMMYFUNCTION("""COMPUTED_VALUE"""),30)</f>
        <v>30</v>
      </c>
      <c r="E265" s="124"/>
      <c r="F265" s="112" t="str">
        <f ca="1">IFERROR(__xludf.DUMMYFUNCTION("""COMPUTED_VALUE"""),"ту14-1-3564, РТТ, УЗК,2ГП, ")</f>
        <v xml:space="preserve">ту14-1-3564, РТТ, УЗК,2ГП, </v>
      </c>
      <c r="G265" s="125">
        <f ca="1">IFERROR(__xludf.DUMMYFUNCTION("""COMPUTED_VALUE"""),1.634)</f>
        <v>1.6339999999999999</v>
      </c>
      <c r="H265" s="125"/>
      <c r="I265" s="131">
        <f ca="1">IFERROR(__xludf.DUMMYFUNCTION("""COMPUTED_VALUE"""),680000)</f>
        <v>680000</v>
      </c>
    </row>
    <row r="266" spans="2:9" ht="15.75" x14ac:dyDescent="0.25">
      <c r="B266" s="123" t="str">
        <f ca="1">IFERROR(__xludf.DUMMYFUNCTION("""COMPUTED_VALUE"""),"круг")</f>
        <v>круг</v>
      </c>
      <c r="C266" s="133" t="str">
        <f ca="1">IFERROR(__xludf.DUMMYFUNCTION("""COMPUTED_VALUE"""),"09Х16Н4Б (ЭП56)")</f>
        <v>09Х16Н4Б (ЭП56)</v>
      </c>
      <c r="D266" s="124">
        <f ca="1">IFERROR(__xludf.DUMMYFUNCTION("""COMPUTED_VALUE"""),32)</f>
        <v>32</v>
      </c>
      <c r="E266" s="124"/>
      <c r="F266" s="112" t="str">
        <f ca="1">IFERROR(__xludf.DUMMYFUNCTION("""COMPUTED_VALUE"""),"ту14-1-3564, РТТ, УЗК,2ГП, ")</f>
        <v xml:space="preserve">ту14-1-3564, РТТ, УЗК,2ГП, </v>
      </c>
      <c r="G266" s="125">
        <f ca="1">IFERROR(__xludf.DUMMYFUNCTION("""COMPUTED_VALUE"""),2)</f>
        <v>2</v>
      </c>
      <c r="H266" s="125"/>
      <c r="I266" s="131">
        <f ca="1">IFERROR(__xludf.DUMMYFUNCTION("""COMPUTED_VALUE"""),680000)</f>
        <v>680000</v>
      </c>
    </row>
    <row r="267" spans="2:9" ht="15.75" x14ac:dyDescent="0.25">
      <c r="B267" s="123" t="str">
        <f ca="1">IFERROR(__xludf.DUMMYFUNCTION("""COMPUTED_VALUE"""),"круг")</f>
        <v>круг</v>
      </c>
      <c r="C267" s="133" t="str">
        <f ca="1">IFERROR(__xludf.DUMMYFUNCTION("""COMPUTED_VALUE"""),"09Х16Н4Б (ЭП56)")</f>
        <v>09Х16Н4Б (ЭП56)</v>
      </c>
      <c r="D267" s="124">
        <f ca="1">IFERROR(__xludf.DUMMYFUNCTION("""COMPUTED_VALUE"""),35)</f>
        <v>35</v>
      </c>
      <c r="E267" s="124"/>
      <c r="F267" s="112" t="str">
        <f ca="1">IFERROR(__xludf.DUMMYFUNCTION("""COMPUTED_VALUE"""),"ту14-1-3564, РТТ, УЗК,2ГП, ")</f>
        <v xml:space="preserve">ту14-1-3564, РТТ, УЗК,2ГП, </v>
      </c>
      <c r="G267" s="125">
        <f ca="1">IFERROR(__xludf.DUMMYFUNCTION("""COMPUTED_VALUE"""),3)</f>
        <v>3</v>
      </c>
      <c r="H267" s="125"/>
      <c r="I267" s="131">
        <f ca="1">IFERROR(__xludf.DUMMYFUNCTION("""COMPUTED_VALUE"""),680000)</f>
        <v>680000</v>
      </c>
    </row>
    <row r="268" spans="2:9" ht="15.75" x14ac:dyDescent="0.25">
      <c r="B268" s="123" t="str">
        <f ca="1">IFERROR(__xludf.DUMMYFUNCTION("""COMPUTED_VALUE"""),"круг")</f>
        <v>круг</v>
      </c>
      <c r="C268" s="133" t="str">
        <f ca="1">IFERROR(__xludf.DUMMYFUNCTION("""COMPUTED_VALUE"""),"09Х16Н4Б (ЭП56)")</f>
        <v>09Х16Н4Б (ЭП56)</v>
      </c>
      <c r="D268" s="124">
        <f ca="1">IFERROR(__xludf.DUMMYFUNCTION("""COMPUTED_VALUE"""),35)</f>
        <v>35</v>
      </c>
      <c r="E268" s="124"/>
      <c r="F268" s="112" t="str">
        <f ca="1">IFERROR(__xludf.DUMMYFUNCTION("""COMPUTED_VALUE"""),"ТУ 14-1-3564, ГОСТ 2590 АТП, ТО, узк, 2гп")</f>
        <v>ТУ 14-1-3564, ГОСТ 2590 АТП, ТО, узк, 2гп</v>
      </c>
      <c r="G268" s="125">
        <f ca="1">IFERROR(__xludf.DUMMYFUNCTION("""COMPUTED_VALUE"""),0.488)</f>
        <v>0.48799999999999999</v>
      </c>
      <c r="H268" s="125"/>
      <c r="I268" s="131">
        <f ca="1">IFERROR(__xludf.DUMMYFUNCTION("""COMPUTED_VALUE"""),650000)</f>
        <v>650000</v>
      </c>
    </row>
    <row r="269" spans="2:9" ht="15.75" x14ac:dyDescent="0.25">
      <c r="B269" s="123" t="str">
        <f ca="1">IFERROR(__xludf.DUMMYFUNCTION("""COMPUTED_VALUE"""),"круг")</f>
        <v>круг</v>
      </c>
      <c r="C269" s="133" t="str">
        <f ca="1">IFERROR(__xludf.DUMMYFUNCTION("""COMPUTED_VALUE"""),"09Х16Н4Б (ЭП56)")</f>
        <v>09Х16Н4Б (ЭП56)</v>
      </c>
      <c r="D269" s="124">
        <f ca="1">IFERROR(__xludf.DUMMYFUNCTION("""COMPUTED_VALUE"""),38)</f>
        <v>38</v>
      </c>
      <c r="E269" s="124"/>
      <c r="F269" s="112" t="str">
        <f ca="1">IFERROR(__xludf.DUMMYFUNCTION("""COMPUTED_VALUE"""),"ту14-1-3564, РТТ, УЗК,2ГП, ")</f>
        <v xml:space="preserve">ту14-1-3564, РТТ, УЗК,2ГП, </v>
      </c>
      <c r="G269" s="125">
        <f ca="1">IFERROR(__xludf.DUMMYFUNCTION("""COMPUTED_VALUE"""),2)</f>
        <v>2</v>
      </c>
      <c r="H269" s="125"/>
      <c r="I269" s="131">
        <f ca="1">IFERROR(__xludf.DUMMYFUNCTION("""COMPUTED_VALUE"""),680000)</f>
        <v>680000</v>
      </c>
    </row>
    <row r="270" spans="2:9" ht="15.75" x14ac:dyDescent="0.25">
      <c r="B270" s="123" t="str">
        <f ca="1">IFERROR(__xludf.DUMMYFUNCTION("""COMPUTED_VALUE"""),"круг")</f>
        <v>круг</v>
      </c>
      <c r="C270" s="133" t="str">
        <f ca="1">IFERROR(__xludf.DUMMYFUNCTION("""COMPUTED_VALUE"""),"09Х16Н4Б (ЭП56)")</f>
        <v>09Х16Н4Б (ЭП56)</v>
      </c>
      <c r="D270" s="124">
        <f ca="1">IFERROR(__xludf.DUMMYFUNCTION("""COMPUTED_VALUE"""),40)</f>
        <v>40</v>
      </c>
      <c r="E270" s="124"/>
      <c r="F270" s="112" t="str">
        <f ca="1">IFERROR(__xludf.DUMMYFUNCTION("""COMPUTED_VALUE"""),"ту14-1-3564, РТТ, УЗК,2ГП, ")</f>
        <v xml:space="preserve">ту14-1-3564, РТТ, УЗК,2ГП, </v>
      </c>
      <c r="G270" s="125">
        <f ca="1">IFERROR(__xludf.DUMMYFUNCTION("""COMPUTED_VALUE"""),15)</f>
        <v>15</v>
      </c>
      <c r="H270" s="125"/>
      <c r="I270" s="131">
        <f ca="1">IFERROR(__xludf.DUMMYFUNCTION("""COMPUTED_VALUE"""),680000)</f>
        <v>680000</v>
      </c>
    </row>
    <row r="271" spans="2:9" ht="15.75" x14ac:dyDescent="0.25">
      <c r="B271" s="123" t="str">
        <f ca="1">IFERROR(__xludf.DUMMYFUNCTION("""COMPUTED_VALUE"""),"круг")</f>
        <v>круг</v>
      </c>
      <c r="C271" s="133" t="str">
        <f ca="1">IFERROR(__xludf.DUMMYFUNCTION("""COMPUTED_VALUE"""),"09Х16Н4Б (ЭП56)")</f>
        <v>09Х16Н4Б (ЭП56)</v>
      </c>
      <c r="D271" s="124">
        <f ca="1">IFERROR(__xludf.DUMMYFUNCTION("""COMPUTED_VALUE"""),40)</f>
        <v>40</v>
      </c>
      <c r="E271" s="124"/>
      <c r="F271" s="112" t="str">
        <f ca="1">IFERROR(__xludf.DUMMYFUNCTION("""COMPUTED_VALUE"""),"ту14-1-3564, РТТ, УЗК,2ГП, ")</f>
        <v xml:space="preserve">ту14-1-3564, РТТ, УЗК,2ГП, </v>
      </c>
      <c r="G271" s="125">
        <f ca="1">IFERROR(__xludf.DUMMYFUNCTION("""COMPUTED_VALUE"""),2.581)</f>
        <v>2.581</v>
      </c>
      <c r="H271" s="125"/>
      <c r="I271" s="131">
        <f ca="1">IFERROR(__xludf.DUMMYFUNCTION("""COMPUTED_VALUE"""),680000)</f>
        <v>680000</v>
      </c>
    </row>
    <row r="272" spans="2:9" ht="15.75" x14ac:dyDescent="0.25">
      <c r="B272" s="123" t="str">
        <f ca="1">IFERROR(__xludf.DUMMYFUNCTION("""COMPUTED_VALUE"""),"круг")</f>
        <v>круг</v>
      </c>
      <c r="C272" s="133" t="str">
        <f ca="1">IFERROR(__xludf.DUMMYFUNCTION("""COMPUTED_VALUE"""),"09Х16Н4Б (ЭП56)")</f>
        <v>09Х16Н4Б (ЭП56)</v>
      </c>
      <c r="D272" s="124">
        <f ca="1">IFERROR(__xludf.DUMMYFUNCTION("""COMPUTED_VALUE"""),45)</f>
        <v>45</v>
      </c>
      <c r="E272" s="124"/>
      <c r="F272" s="112" t="str">
        <f ca="1">IFERROR(__xludf.DUMMYFUNCTION("""COMPUTED_VALUE"""),"ту14-1-3564, РТТ, УЗК,2ГП, ")</f>
        <v xml:space="preserve">ту14-1-3564, РТТ, УЗК,2ГП, </v>
      </c>
      <c r="G272" s="125">
        <f ca="1">IFERROR(__xludf.DUMMYFUNCTION("""COMPUTED_VALUE"""),10)</f>
        <v>10</v>
      </c>
      <c r="H272" s="125"/>
      <c r="I272" s="131">
        <f ca="1">IFERROR(__xludf.DUMMYFUNCTION("""COMPUTED_VALUE"""),680000)</f>
        <v>680000</v>
      </c>
    </row>
    <row r="273" spans="2:9" ht="15.75" x14ac:dyDescent="0.25">
      <c r="B273" s="123" t="str">
        <f ca="1">IFERROR(__xludf.DUMMYFUNCTION("""COMPUTED_VALUE"""),"круг")</f>
        <v>круг</v>
      </c>
      <c r="C273" s="133" t="str">
        <f ca="1">IFERROR(__xludf.DUMMYFUNCTION("""COMPUTED_VALUE"""),"09Х16Н4Б (ЭП56)")</f>
        <v>09Х16Н4Б (ЭП56)</v>
      </c>
      <c r="D273" s="124">
        <f ca="1">IFERROR(__xludf.DUMMYFUNCTION("""COMPUTED_VALUE"""),45)</f>
        <v>45</v>
      </c>
      <c r="E273" s="124"/>
      <c r="F273" s="112" t="str">
        <f ca="1">IFERROR(__xludf.DUMMYFUNCTION("""COMPUTED_VALUE"""),"ту14-1-3564, РТТ, УЗК,2ГП, ")</f>
        <v xml:space="preserve">ту14-1-3564, РТТ, УЗК,2ГП, </v>
      </c>
      <c r="G273" s="125">
        <f ca="1">IFERROR(__xludf.DUMMYFUNCTION("""COMPUTED_VALUE"""),1.33)</f>
        <v>1.33</v>
      </c>
      <c r="H273" s="125"/>
      <c r="I273" s="131">
        <f ca="1">IFERROR(__xludf.DUMMYFUNCTION("""COMPUTED_VALUE"""),680000)</f>
        <v>680000</v>
      </c>
    </row>
    <row r="274" spans="2:9" ht="15.75" x14ac:dyDescent="0.25">
      <c r="B274" s="123" t="str">
        <f ca="1">IFERROR(__xludf.DUMMYFUNCTION("""COMPUTED_VALUE"""),"круг")</f>
        <v>круг</v>
      </c>
      <c r="C274" s="133" t="str">
        <f ca="1">IFERROR(__xludf.DUMMYFUNCTION("""COMPUTED_VALUE"""),"09Х16Н4Б (ЭП56)")</f>
        <v>09Х16Н4Б (ЭП56)</v>
      </c>
      <c r="D274" s="124">
        <f ca="1">IFERROR(__xludf.DUMMYFUNCTION("""COMPUTED_VALUE"""),50)</f>
        <v>50</v>
      </c>
      <c r="E274" s="124"/>
      <c r="F274" s="112" t="str">
        <f ca="1">IFERROR(__xludf.DUMMYFUNCTION("""COMPUTED_VALUE"""),"ту14-1-3564, РТТ, УЗК,2ГП, ")</f>
        <v xml:space="preserve">ту14-1-3564, РТТ, УЗК,2ГП, </v>
      </c>
      <c r="G274" s="125">
        <f ca="1">IFERROR(__xludf.DUMMYFUNCTION("""COMPUTED_VALUE"""),10)</f>
        <v>10</v>
      </c>
      <c r="H274" s="125"/>
      <c r="I274" s="131">
        <f ca="1">IFERROR(__xludf.DUMMYFUNCTION("""COMPUTED_VALUE"""),680000)</f>
        <v>680000</v>
      </c>
    </row>
    <row r="275" spans="2:9" ht="15.75" x14ac:dyDescent="0.25">
      <c r="B275" s="123" t="str">
        <f ca="1">IFERROR(__xludf.DUMMYFUNCTION("""COMPUTED_VALUE"""),"круг")</f>
        <v>круг</v>
      </c>
      <c r="C275" s="133" t="str">
        <f ca="1">IFERROR(__xludf.DUMMYFUNCTION("""COMPUTED_VALUE"""),"09Х16Н4Б (ЭП56)")</f>
        <v>09Х16Н4Б (ЭП56)</v>
      </c>
      <c r="D275" s="124">
        <f ca="1">IFERROR(__xludf.DUMMYFUNCTION("""COMPUTED_VALUE"""),50)</f>
        <v>50</v>
      </c>
      <c r="E275" s="124"/>
      <c r="F275" s="112" t="str">
        <f ca="1">IFERROR(__xludf.DUMMYFUNCTION("""COMPUTED_VALUE"""),"ту14-1-3564, РТТ, УЗК,2ГП, ")</f>
        <v xml:space="preserve">ту14-1-3564, РТТ, УЗК,2ГП, </v>
      </c>
      <c r="G275" s="125">
        <f ca="1">IFERROR(__xludf.DUMMYFUNCTION("""COMPUTED_VALUE"""),0.754999999999999)</f>
        <v>0.75499999999999901</v>
      </c>
      <c r="H275" s="125"/>
      <c r="I275" s="131">
        <f ca="1">IFERROR(__xludf.DUMMYFUNCTION("""COMPUTED_VALUE"""),680000)</f>
        <v>680000</v>
      </c>
    </row>
    <row r="276" spans="2:9" ht="15.75" x14ac:dyDescent="0.25">
      <c r="B276" s="123" t="str">
        <f ca="1">IFERROR(__xludf.DUMMYFUNCTION("""COMPUTED_VALUE"""),"круг")</f>
        <v>круг</v>
      </c>
      <c r="C276" s="133" t="str">
        <f ca="1">IFERROR(__xludf.DUMMYFUNCTION("""COMPUTED_VALUE"""),"09Х16Н4Б (ЭП56)")</f>
        <v>09Х16Н4Б (ЭП56)</v>
      </c>
      <c r="D276" s="124">
        <f ca="1">IFERROR(__xludf.DUMMYFUNCTION("""COMPUTED_VALUE"""),50)</f>
        <v>50</v>
      </c>
      <c r="E276" s="124"/>
      <c r="F276" s="112" t="str">
        <f ca="1">IFERROR(__xludf.DUMMYFUNCTION("""COMPUTED_VALUE"""),"ту14-1-3564, РТТ, УЗК,2ГП, ")</f>
        <v xml:space="preserve">ту14-1-3564, РТТ, УЗК,2ГП, </v>
      </c>
      <c r="G276" s="125">
        <f ca="1">IFERROR(__xludf.DUMMYFUNCTION("""COMPUTED_VALUE"""),0.425)</f>
        <v>0.42499999999999999</v>
      </c>
      <c r="H276" s="125"/>
      <c r="I276" s="131">
        <f ca="1">IFERROR(__xludf.DUMMYFUNCTION("""COMPUTED_VALUE"""),680000)</f>
        <v>680000</v>
      </c>
    </row>
    <row r="277" spans="2:9" ht="15.75" x14ac:dyDescent="0.25">
      <c r="B277" s="123" t="str">
        <f ca="1">IFERROR(__xludf.DUMMYFUNCTION("""COMPUTED_VALUE"""),"круг")</f>
        <v>круг</v>
      </c>
      <c r="C277" s="133" t="str">
        <f ca="1">IFERROR(__xludf.DUMMYFUNCTION("""COMPUTED_VALUE"""),"09Х16Н4Б (ЭП56)")</f>
        <v>09Х16Н4Б (ЭП56)</v>
      </c>
      <c r="D277" s="124">
        <f ca="1">IFERROR(__xludf.DUMMYFUNCTION("""COMPUTED_VALUE"""),56)</f>
        <v>56</v>
      </c>
      <c r="E277" s="124"/>
      <c r="F277" s="112" t="str">
        <f ca="1">IFERROR(__xludf.DUMMYFUNCTION("""COMPUTED_VALUE"""),"ТУ 14-1-3564, ГОСТ 2590  ТО, узк, 3гп, БЕЗ РТ")</f>
        <v>ТУ 14-1-3564, ГОСТ 2590  ТО, узк, 3гп, БЕЗ РТ</v>
      </c>
      <c r="G277" s="125">
        <f ca="1">IFERROR(__xludf.DUMMYFUNCTION("""COMPUTED_VALUE"""),2.101)</f>
        <v>2.101</v>
      </c>
      <c r="H277" s="125"/>
      <c r="I277" s="131">
        <f ca="1">IFERROR(__xludf.DUMMYFUNCTION("""COMPUTED_VALUE"""),750000)</f>
        <v>750000</v>
      </c>
    </row>
    <row r="278" spans="2:9" ht="15.75" x14ac:dyDescent="0.25">
      <c r="B278" s="123" t="str">
        <f ca="1">IFERROR(__xludf.DUMMYFUNCTION("""COMPUTED_VALUE"""),"круг")</f>
        <v>круг</v>
      </c>
      <c r="C278" s="133" t="str">
        <f ca="1">IFERROR(__xludf.DUMMYFUNCTION("""COMPUTED_VALUE"""),"09Х16Н4Б (ЭП56)")</f>
        <v>09Х16Н4Б (ЭП56)</v>
      </c>
      <c r="D278" s="124">
        <f ca="1">IFERROR(__xludf.DUMMYFUNCTION("""COMPUTED_VALUE"""),60)</f>
        <v>60</v>
      </c>
      <c r="E278" s="124"/>
      <c r="F278" s="112" t="str">
        <f ca="1">IFERROR(__xludf.DUMMYFUNCTION("""COMPUTED_VALUE"""),"гост 5949/2590 НД, 2ГП отжиг")</f>
        <v>гост 5949/2590 НД, 2ГП отжиг</v>
      </c>
      <c r="G278" s="125">
        <f ca="1">IFERROR(__xludf.DUMMYFUNCTION("""COMPUTED_VALUE"""),0.0620000000000002)</f>
        <v>6.2000000000000201E-2</v>
      </c>
      <c r="H278" s="125"/>
      <c r="I278" s="131">
        <f ca="1">IFERROR(__xludf.DUMMYFUNCTION("""COMPUTED_VALUE"""),650000)</f>
        <v>650000</v>
      </c>
    </row>
    <row r="279" spans="2:9" ht="15.75" x14ac:dyDescent="0.25">
      <c r="B279" s="123" t="str">
        <f ca="1">IFERROR(__xludf.DUMMYFUNCTION("""COMPUTED_VALUE"""),"круг")</f>
        <v>круг</v>
      </c>
      <c r="C279" s="133" t="str">
        <f ca="1">IFERROR(__xludf.DUMMYFUNCTION("""COMPUTED_VALUE"""),"09Х16Н4Б (ЭП56)")</f>
        <v>09Х16Н4Б (ЭП56)</v>
      </c>
      <c r="D279" s="124">
        <f ca="1">IFERROR(__xludf.DUMMYFUNCTION("""COMPUTED_VALUE"""),60)</f>
        <v>60</v>
      </c>
      <c r="E279" s="124"/>
      <c r="F279" s="112" t="str">
        <f ca="1">IFERROR(__xludf.DUMMYFUNCTION("""COMPUTED_VALUE"""),"гост 5949/2590 НД, 2ГП отжиг")</f>
        <v>гост 5949/2590 НД, 2ГП отжиг</v>
      </c>
      <c r="G279" s="125">
        <f ca="1">IFERROR(__xludf.DUMMYFUNCTION("""COMPUTED_VALUE"""),1.534)</f>
        <v>1.534</v>
      </c>
      <c r="H279" s="125"/>
      <c r="I279" s="131">
        <f ca="1">IFERROR(__xludf.DUMMYFUNCTION("""COMPUTED_VALUE"""),650000)</f>
        <v>650000</v>
      </c>
    </row>
    <row r="280" spans="2:9" ht="15.75" x14ac:dyDescent="0.25">
      <c r="B280" s="123" t="str">
        <f ca="1">IFERROR(__xludf.DUMMYFUNCTION("""COMPUTED_VALUE"""),"круг")</f>
        <v>круг</v>
      </c>
      <c r="C280" s="133" t="str">
        <f ca="1">IFERROR(__xludf.DUMMYFUNCTION("""COMPUTED_VALUE"""),"09Х16Н4Б (ЭП56)")</f>
        <v>09Х16Н4Б (ЭП56)</v>
      </c>
      <c r="D280" s="124">
        <f ca="1">IFERROR(__xludf.DUMMYFUNCTION("""COMPUTED_VALUE"""),60)</f>
        <v>60</v>
      </c>
      <c r="E280" s="124"/>
      <c r="F280" s="112" t="str">
        <f ca="1">IFERROR(__xludf.DUMMYFUNCTION("""COMPUTED_VALUE"""),"ту14-1-3564, РТТ, УЗК,2ГП, ")</f>
        <v xml:space="preserve">ту14-1-3564, РТТ, УЗК,2ГП, </v>
      </c>
      <c r="G280" s="125">
        <f ca="1">IFERROR(__xludf.DUMMYFUNCTION("""COMPUTED_VALUE"""),3.045)</f>
        <v>3.0449999999999999</v>
      </c>
      <c r="H280" s="125"/>
      <c r="I280" s="131">
        <f ca="1">IFERROR(__xludf.DUMMYFUNCTION("""COMPUTED_VALUE"""),680000)</f>
        <v>680000</v>
      </c>
    </row>
    <row r="281" spans="2:9" ht="15.75" x14ac:dyDescent="0.25">
      <c r="B281" s="123" t="str">
        <f ca="1">IFERROR(__xludf.DUMMYFUNCTION("""COMPUTED_VALUE"""),"круг")</f>
        <v>круг</v>
      </c>
      <c r="C281" s="133" t="str">
        <f ca="1">IFERROR(__xludf.DUMMYFUNCTION("""COMPUTED_VALUE"""),"09Х16Н4Б (ЭП56)")</f>
        <v>09Х16Н4Б (ЭП56)</v>
      </c>
      <c r="D281" s="124">
        <f ca="1">IFERROR(__xludf.DUMMYFUNCTION("""COMPUTED_VALUE"""),65)</f>
        <v>65</v>
      </c>
      <c r="E281" s="124"/>
      <c r="F281" s="112" t="str">
        <f ca="1">IFERROR(__xludf.DUMMYFUNCTION("""COMPUTED_VALUE"""),"ТУ 14-1-3564, ГОСТ 2590 АТП, ТО, узк, 2гп")</f>
        <v>ТУ 14-1-3564, ГОСТ 2590 АТП, ТО, узк, 2гп</v>
      </c>
      <c r="G281" s="125">
        <f ca="1">IFERROR(__xludf.DUMMYFUNCTION("""COMPUTED_VALUE"""),0.0710000000000001)</f>
        <v>7.1000000000000105E-2</v>
      </c>
      <c r="H281" s="125"/>
      <c r="I281" s="131">
        <f ca="1">IFERROR(__xludf.DUMMYFUNCTION("""COMPUTED_VALUE"""),650000)</f>
        <v>650000</v>
      </c>
    </row>
    <row r="282" spans="2:9" ht="15.75" x14ac:dyDescent="0.25">
      <c r="B282" s="123" t="str">
        <f ca="1">IFERROR(__xludf.DUMMYFUNCTION("""COMPUTED_VALUE"""),"круг")</f>
        <v>круг</v>
      </c>
      <c r="C282" s="133" t="str">
        <f ca="1">IFERROR(__xludf.DUMMYFUNCTION("""COMPUTED_VALUE"""),"09Х16Н4Б (ЭП56)")</f>
        <v>09Х16Н4Б (ЭП56)</v>
      </c>
      <c r="D282" s="124">
        <f ca="1">IFERROR(__xludf.DUMMYFUNCTION("""COMPUTED_VALUE"""),65)</f>
        <v>65</v>
      </c>
      <c r="E282" s="124"/>
      <c r="F282" s="112" t="str">
        <f ca="1">IFERROR(__xludf.DUMMYFUNCTION("""COMPUTED_VALUE"""),"ТУ 14-1-3564, ГОСТ 2590 АТП, ТО, узк, 2гп")</f>
        <v>ТУ 14-1-3564, ГОСТ 2590 АТП, ТО, узк, 2гп</v>
      </c>
      <c r="G282" s="125">
        <f ca="1">IFERROR(__xludf.DUMMYFUNCTION("""COMPUTED_VALUE"""),0.465)</f>
        <v>0.46500000000000002</v>
      </c>
      <c r="H282" s="125"/>
      <c r="I282" s="131">
        <f ca="1">IFERROR(__xludf.DUMMYFUNCTION("""COMPUTED_VALUE"""),650000)</f>
        <v>650000</v>
      </c>
    </row>
    <row r="283" spans="2:9" ht="15.75" x14ac:dyDescent="0.25">
      <c r="B283" s="123" t="str">
        <f ca="1">IFERROR(__xludf.DUMMYFUNCTION("""COMPUTED_VALUE"""),"круг")</f>
        <v>круг</v>
      </c>
      <c r="C283" s="133" t="str">
        <f ca="1">IFERROR(__xludf.DUMMYFUNCTION("""COMPUTED_VALUE"""),"09Х16Н4Б (ЭП56)")</f>
        <v>09Х16Н4Б (ЭП56)</v>
      </c>
      <c r="D283" s="124">
        <f ca="1">IFERROR(__xludf.DUMMYFUNCTION("""COMPUTED_VALUE"""),65)</f>
        <v>65</v>
      </c>
      <c r="E283" s="124"/>
      <c r="F283" s="112" t="str">
        <f ca="1">IFERROR(__xludf.DUMMYFUNCTION("""COMPUTED_VALUE"""),"ТУ 14-1-3564, ГОСТ 2590 АТП, ТО, узк, 2гп")</f>
        <v>ТУ 14-1-3564, ГОСТ 2590 АТП, ТО, узк, 2гп</v>
      </c>
      <c r="G283" s="125">
        <f ca="1">IFERROR(__xludf.DUMMYFUNCTION("""COMPUTED_VALUE"""),1.46)</f>
        <v>1.46</v>
      </c>
      <c r="H283" s="125"/>
      <c r="I283" s="131">
        <f ca="1">IFERROR(__xludf.DUMMYFUNCTION("""COMPUTED_VALUE"""),650000)</f>
        <v>650000</v>
      </c>
    </row>
    <row r="284" spans="2:9" ht="15.75" x14ac:dyDescent="0.25">
      <c r="B284" s="123" t="str">
        <f ca="1">IFERROR(__xludf.DUMMYFUNCTION("""COMPUTED_VALUE"""),"круг")</f>
        <v>круг</v>
      </c>
      <c r="C284" s="133" t="str">
        <f ca="1">IFERROR(__xludf.DUMMYFUNCTION("""COMPUTED_VALUE"""),"09Х16Н4Б (ЭП56)")</f>
        <v>09Х16Н4Б (ЭП56)</v>
      </c>
      <c r="D284" s="124">
        <f ca="1">IFERROR(__xludf.DUMMYFUNCTION("""COMPUTED_VALUE"""),70)</f>
        <v>70</v>
      </c>
      <c r="E284" s="124"/>
      <c r="F284" s="112" t="str">
        <f ca="1">IFERROR(__xludf.DUMMYFUNCTION("""COMPUTED_VALUE"""),"ту14-1-3564, РТТ, УЗК,2ГП, ")</f>
        <v xml:space="preserve">ту14-1-3564, РТТ, УЗК,2ГП, </v>
      </c>
      <c r="G284" s="125">
        <f ca="1">IFERROR(__xludf.DUMMYFUNCTION("""COMPUTED_VALUE"""),1.235)</f>
        <v>1.2350000000000001</v>
      </c>
      <c r="H284" s="125"/>
      <c r="I284" s="131">
        <f ca="1">IFERROR(__xludf.DUMMYFUNCTION("""COMPUTED_VALUE"""),680000)</f>
        <v>680000</v>
      </c>
    </row>
    <row r="285" spans="2:9" ht="15.75" x14ac:dyDescent="0.25">
      <c r="B285" s="123" t="str">
        <f ca="1">IFERROR(__xludf.DUMMYFUNCTION("""COMPUTED_VALUE"""),"круг")</f>
        <v>круг</v>
      </c>
      <c r="C285" s="133" t="str">
        <f ca="1">IFERROR(__xludf.DUMMYFUNCTION("""COMPUTED_VALUE"""),"09Х16Н4Б (ЭП56)")</f>
        <v>09Х16Н4Б (ЭП56)</v>
      </c>
      <c r="D285" s="124">
        <f ca="1">IFERROR(__xludf.DUMMYFUNCTION("""COMPUTED_VALUE"""),70)</f>
        <v>70</v>
      </c>
      <c r="E285" s="124"/>
      <c r="F285" s="112" t="str">
        <f ca="1">IFERROR(__xludf.DUMMYFUNCTION("""COMPUTED_VALUE"""),"ту14-1-3564, РТТ, УЗК,2ГП, ")</f>
        <v xml:space="preserve">ту14-1-3564, РТТ, УЗК,2ГП, </v>
      </c>
      <c r="G285" s="125">
        <f ca="1">IFERROR(__xludf.DUMMYFUNCTION("""COMPUTED_VALUE"""),0.48)</f>
        <v>0.48</v>
      </c>
      <c r="H285" s="125"/>
      <c r="I285" s="131">
        <f ca="1">IFERROR(__xludf.DUMMYFUNCTION("""COMPUTED_VALUE"""),680000)</f>
        <v>680000</v>
      </c>
    </row>
    <row r="286" spans="2:9" ht="15.75" x14ac:dyDescent="0.25">
      <c r="B286" s="123" t="str">
        <f ca="1">IFERROR(__xludf.DUMMYFUNCTION("""COMPUTED_VALUE"""),"круг")</f>
        <v>круг</v>
      </c>
      <c r="C286" s="133" t="str">
        <f ca="1">IFERROR(__xludf.DUMMYFUNCTION("""COMPUTED_VALUE"""),"09Х16Н4Б (ЭП56)")</f>
        <v>09Х16Н4Б (ЭП56)</v>
      </c>
      <c r="D286" s="124">
        <f ca="1">IFERROR(__xludf.DUMMYFUNCTION("""COMPUTED_VALUE"""),75)</f>
        <v>75</v>
      </c>
      <c r="E286" s="124"/>
      <c r="F286" s="112" t="str">
        <f ca="1">IFERROR(__xludf.DUMMYFUNCTION("""COMPUTED_VALUE"""),"ТУ 14-1-3564, ГОСТ 2590 АТП, ТО, узк, 2гп")</f>
        <v>ТУ 14-1-3564, ГОСТ 2590 АТП, ТО, узк, 2гп</v>
      </c>
      <c r="G286" s="125">
        <f ca="1">IFERROR(__xludf.DUMMYFUNCTION("""COMPUTED_VALUE"""),0.998)</f>
        <v>0.998</v>
      </c>
      <c r="H286" s="125"/>
      <c r="I286" s="131">
        <f ca="1">IFERROR(__xludf.DUMMYFUNCTION("""COMPUTED_VALUE"""),650000)</f>
        <v>650000</v>
      </c>
    </row>
    <row r="287" spans="2:9" ht="15.75" x14ac:dyDescent="0.25">
      <c r="B287" s="123" t="str">
        <f ca="1">IFERROR(__xludf.DUMMYFUNCTION("""COMPUTED_VALUE"""),"круг")</f>
        <v>круг</v>
      </c>
      <c r="C287" s="133" t="str">
        <f ca="1">IFERROR(__xludf.DUMMYFUNCTION("""COMPUTED_VALUE"""),"09Х16Н4Б (ЭП56)")</f>
        <v>09Х16Н4Б (ЭП56)</v>
      </c>
      <c r="D287" s="124">
        <f ca="1">IFERROR(__xludf.DUMMYFUNCTION("""COMPUTED_VALUE"""),75)</f>
        <v>75</v>
      </c>
      <c r="E287" s="124"/>
      <c r="F287" s="112" t="str">
        <f ca="1">IFERROR(__xludf.DUMMYFUNCTION("""COMPUTED_VALUE"""),"ТУ 14-1-3564, ГОСТ 2590 АТП, ТО, узк, 2гп")</f>
        <v>ТУ 14-1-3564, ГОСТ 2590 АТП, ТО, узк, 2гп</v>
      </c>
      <c r="G287" s="125">
        <f ca="1">IFERROR(__xludf.DUMMYFUNCTION("""COMPUTED_VALUE"""),0.255)</f>
        <v>0.255</v>
      </c>
      <c r="H287" s="125"/>
      <c r="I287" s="131">
        <f ca="1">IFERROR(__xludf.DUMMYFUNCTION("""COMPUTED_VALUE"""),650000)</f>
        <v>650000</v>
      </c>
    </row>
    <row r="288" spans="2:9" ht="15.75" x14ac:dyDescent="0.25">
      <c r="B288" s="123" t="str">
        <f ca="1">IFERROR(__xludf.DUMMYFUNCTION("""COMPUTED_VALUE"""),"круг")</f>
        <v>круг</v>
      </c>
      <c r="C288" s="133" t="str">
        <f ca="1">IFERROR(__xludf.DUMMYFUNCTION("""COMPUTED_VALUE"""),"09Х16Н4Б (ЭП56)")</f>
        <v>09Х16Н4Б (ЭП56)</v>
      </c>
      <c r="D288" s="124">
        <f ca="1">IFERROR(__xludf.DUMMYFUNCTION("""COMPUTED_VALUE"""),85)</f>
        <v>85</v>
      </c>
      <c r="E288" s="124"/>
      <c r="F288" s="112" t="str">
        <f ca="1">IFERROR(__xludf.DUMMYFUNCTION("""COMPUTED_VALUE"""),"ТУ 14-1-3564, ГОСТ 2590 АТП, ТО, узк, 2гп")</f>
        <v>ТУ 14-1-3564, ГОСТ 2590 АТП, ТО, узк, 2гп</v>
      </c>
      <c r="G288" s="125">
        <f ca="1">IFERROR(__xludf.DUMMYFUNCTION("""COMPUTED_VALUE"""),2.312)</f>
        <v>2.3119999999999998</v>
      </c>
      <c r="H288" s="125"/>
      <c r="I288" s="131">
        <f ca="1">IFERROR(__xludf.DUMMYFUNCTION("""COMPUTED_VALUE"""),680000)</f>
        <v>680000</v>
      </c>
    </row>
    <row r="289" spans="2:9" ht="15.75" x14ac:dyDescent="0.25">
      <c r="B289" s="123" t="str">
        <f ca="1">IFERROR(__xludf.DUMMYFUNCTION("""COMPUTED_VALUE"""),"круг")</f>
        <v>круг</v>
      </c>
      <c r="C289" s="133" t="str">
        <f ca="1">IFERROR(__xludf.DUMMYFUNCTION("""COMPUTED_VALUE"""),"09Х16Н4Б (ЭП56)")</f>
        <v>09Х16Н4Б (ЭП56)</v>
      </c>
      <c r="D289" s="124">
        <f ca="1">IFERROR(__xludf.DUMMYFUNCTION("""COMPUTED_VALUE"""),90)</f>
        <v>90</v>
      </c>
      <c r="E289" s="124"/>
      <c r="F289" s="112" t="str">
        <f ca="1">IFERROR(__xludf.DUMMYFUNCTION("""COMPUTED_VALUE"""),"ГОСТ 5949, ГОСТ 2590  РТТ, 2ГП")</f>
        <v>ГОСТ 5949, ГОСТ 2590  РТТ, 2ГП</v>
      </c>
      <c r="G289" s="125">
        <f ca="1">IFERROR(__xludf.DUMMYFUNCTION("""COMPUTED_VALUE"""),0.220999999999999)</f>
        <v>0.220999999999999</v>
      </c>
      <c r="H289" s="125"/>
      <c r="I289" s="131">
        <f ca="1">IFERROR(__xludf.DUMMYFUNCTION("""COMPUTED_VALUE"""),540000)</f>
        <v>540000</v>
      </c>
    </row>
    <row r="290" spans="2:9" ht="15.75" x14ac:dyDescent="0.25">
      <c r="B290" s="123" t="str">
        <f ca="1">IFERROR(__xludf.DUMMYFUNCTION("""COMPUTED_VALUE"""),"круг")</f>
        <v>круг</v>
      </c>
      <c r="C290" s="133" t="str">
        <f ca="1">IFERROR(__xludf.DUMMYFUNCTION("""COMPUTED_VALUE"""),"09Х16Н4Б (ЭП56)")</f>
        <v>09Х16Н4Б (ЭП56)</v>
      </c>
      <c r="D290" s="124">
        <f ca="1">IFERROR(__xludf.DUMMYFUNCTION("""COMPUTED_VALUE"""),90)</f>
        <v>90</v>
      </c>
      <c r="E290" s="124"/>
      <c r="F290" s="112" t="str">
        <f ca="1">IFERROR(__xludf.DUMMYFUNCTION("""COMPUTED_VALUE"""),"ТУ 14-1-3564, ГОСТ 2590 , ТО, узк, 2гп без РТ")</f>
        <v>ТУ 14-1-3564, ГОСТ 2590 , ТО, узк, 2гп без РТ</v>
      </c>
      <c r="G290" s="125">
        <f ca="1">IFERROR(__xludf.DUMMYFUNCTION("""COMPUTED_VALUE"""),1.88099999999999)</f>
        <v>1.88099999999999</v>
      </c>
      <c r="H290" s="125"/>
      <c r="I290" s="131">
        <f ca="1">IFERROR(__xludf.DUMMYFUNCTION("""COMPUTED_VALUE"""),745000)</f>
        <v>745000</v>
      </c>
    </row>
    <row r="291" spans="2:9" ht="15.75" x14ac:dyDescent="0.25">
      <c r="B291" s="123" t="str">
        <f ca="1">IFERROR(__xludf.DUMMYFUNCTION("""COMPUTED_VALUE"""),"круг")</f>
        <v>круг</v>
      </c>
      <c r="C291" s="133" t="str">
        <f ca="1">IFERROR(__xludf.DUMMYFUNCTION("""COMPUTED_VALUE"""),"09Х16Н4Б (ЭП56)")</f>
        <v>09Х16Н4Б (ЭП56)</v>
      </c>
      <c r="D291" s="124">
        <f ca="1">IFERROR(__xludf.DUMMYFUNCTION("""COMPUTED_VALUE"""),90)</f>
        <v>90</v>
      </c>
      <c r="E291" s="124"/>
      <c r="F291" s="112" t="str">
        <f ca="1">IFERROR(__xludf.DUMMYFUNCTION("""COMPUTED_VALUE"""),"ТУ 14-1-3564, ГОСТ 2590 , ТО, узк, 2гп без РТ")</f>
        <v>ТУ 14-1-3564, ГОСТ 2590 , ТО, узк, 2гп без РТ</v>
      </c>
      <c r="G291" s="125">
        <f ca="1">IFERROR(__xludf.DUMMYFUNCTION("""COMPUTED_VALUE"""),5.715)</f>
        <v>5.7149999999999999</v>
      </c>
      <c r="H291" s="125"/>
      <c r="I291" s="131">
        <f ca="1">IFERROR(__xludf.DUMMYFUNCTION("""COMPUTED_VALUE"""),745000)</f>
        <v>745000</v>
      </c>
    </row>
    <row r="292" spans="2:9" ht="15.75" x14ac:dyDescent="0.25">
      <c r="B292" s="123" t="str">
        <f ca="1">IFERROR(__xludf.DUMMYFUNCTION("""COMPUTED_VALUE"""),"круг")</f>
        <v>круг</v>
      </c>
      <c r="C292" s="133" t="str">
        <f ca="1">IFERROR(__xludf.DUMMYFUNCTION("""COMPUTED_VALUE"""),"09Х16Н4Б (ЭП56)")</f>
        <v>09Х16Н4Б (ЭП56)</v>
      </c>
      <c r="D292" s="124">
        <f ca="1">IFERROR(__xludf.DUMMYFUNCTION("""COMPUTED_VALUE"""),95)</f>
        <v>95</v>
      </c>
      <c r="E292" s="124"/>
      <c r="F292" s="112" t="str">
        <f ca="1">IFERROR(__xludf.DUMMYFUNCTION("""COMPUTED_VALUE"""),"ГОСТ 5949, ГОСТ 2590  ТО, узк, 2гп, БЕЗ РТ")</f>
        <v>ГОСТ 5949, ГОСТ 2590  ТО, узк, 2гп, БЕЗ РТ</v>
      </c>
      <c r="G292" s="125">
        <f ca="1">IFERROR(__xludf.DUMMYFUNCTION("""COMPUTED_VALUE"""),0.412)</f>
        <v>0.41199999999999998</v>
      </c>
      <c r="H292" s="125"/>
      <c r="I292" s="131">
        <f ca="1">IFERROR(__xludf.DUMMYFUNCTION("""COMPUTED_VALUE"""),650000)</f>
        <v>650000</v>
      </c>
    </row>
    <row r="293" spans="2:9" ht="15.75" x14ac:dyDescent="0.25">
      <c r="B293" s="123" t="str">
        <f ca="1">IFERROR(__xludf.DUMMYFUNCTION("""COMPUTED_VALUE"""),"круг")</f>
        <v>круг</v>
      </c>
      <c r="C293" s="133" t="str">
        <f ca="1">IFERROR(__xludf.DUMMYFUNCTION("""COMPUTED_VALUE"""),"09Х16Н4Б (ЭП56)")</f>
        <v>09Х16Н4Б (ЭП56)</v>
      </c>
      <c r="D293" s="124">
        <f ca="1">IFERROR(__xludf.DUMMYFUNCTION("""COMPUTED_VALUE"""),95)</f>
        <v>95</v>
      </c>
      <c r="E293" s="124"/>
      <c r="F293" s="112" t="str">
        <f ca="1">IFERROR(__xludf.DUMMYFUNCTION("""COMPUTED_VALUE"""),"ГОСТ 5949, ГОСТ 2590  2ГП")</f>
        <v>ГОСТ 5949, ГОСТ 2590  2ГП</v>
      </c>
      <c r="G293" s="125">
        <f ca="1">IFERROR(__xludf.DUMMYFUNCTION("""COMPUTED_VALUE"""),1.69)</f>
        <v>1.69</v>
      </c>
      <c r="H293" s="125"/>
      <c r="I293" s="131">
        <f ca="1">IFERROR(__xludf.DUMMYFUNCTION("""COMPUTED_VALUE"""),650000)</f>
        <v>650000</v>
      </c>
    </row>
    <row r="294" spans="2:9" ht="15.75" x14ac:dyDescent="0.25">
      <c r="B294" s="123" t="str">
        <f ca="1">IFERROR(__xludf.DUMMYFUNCTION("""COMPUTED_VALUE"""),"круг")</f>
        <v>круг</v>
      </c>
      <c r="C294" s="133" t="str">
        <f ca="1">IFERROR(__xludf.DUMMYFUNCTION("""COMPUTED_VALUE"""),"09Х16Н4Б (ЭП56)")</f>
        <v>09Х16Н4Б (ЭП56)</v>
      </c>
      <c r="D294" s="124">
        <f ca="1">IFERROR(__xludf.DUMMYFUNCTION("""COMPUTED_VALUE"""),95)</f>
        <v>95</v>
      </c>
      <c r="E294" s="124"/>
      <c r="F294" s="112" t="str">
        <f ca="1">IFERROR(__xludf.DUMMYFUNCTION("""COMPUTED_VALUE"""),"ТУ 14-1-3564, ГОСТ 2590 , ТО, узк, 3гп")</f>
        <v>ТУ 14-1-3564, ГОСТ 2590 , ТО, узк, 3гп</v>
      </c>
      <c r="G294" s="125">
        <f ca="1">IFERROR(__xludf.DUMMYFUNCTION("""COMPUTED_VALUE"""),4.64)</f>
        <v>4.6399999999999997</v>
      </c>
      <c r="H294" s="125"/>
      <c r="I294" s="131">
        <f ca="1">IFERROR(__xludf.DUMMYFUNCTION("""COMPUTED_VALUE"""),650000)</f>
        <v>650000</v>
      </c>
    </row>
    <row r="295" spans="2:9" ht="15.75" x14ac:dyDescent="0.25">
      <c r="B295" s="123" t="str">
        <f ca="1">IFERROR(__xludf.DUMMYFUNCTION("""COMPUTED_VALUE"""),"круг")</f>
        <v>круг</v>
      </c>
      <c r="C295" s="133" t="str">
        <f ca="1">IFERROR(__xludf.DUMMYFUNCTION("""COMPUTED_VALUE"""),"09Х16Н4Б (ЭП56)")</f>
        <v>09Х16Н4Б (ЭП56)</v>
      </c>
      <c r="D295" s="124">
        <f ca="1">IFERROR(__xludf.DUMMYFUNCTION("""COMPUTED_VALUE"""),95)</f>
        <v>95</v>
      </c>
      <c r="E295" s="124"/>
      <c r="F295" s="112" t="str">
        <f ca="1">IFERROR(__xludf.DUMMYFUNCTION("""COMPUTED_VALUE"""),"ту14-1-3564, РТТ, УЗК,2ГП, ")</f>
        <v xml:space="preserve">ту14-1-3564, РТТ, УЗК,2ГП, </v>
      </c>
      <c r="G295" s="125">
        <f ca="1">IFERROR(__xludf.DUMMYFUNCTION("""COMPUTED_VALUE"""),4)</f>
        <v>4</v>
      </c>
      <c r="H295" s="125"/>
      <c r="I295" s="131">
        <f ca="1">IFERROR(__xludf.DUMMYFUNCTION("""COMPUTED_VALUE"""),650000)</f>
        <v>650000</v>
      </c>
    </row>
    <row r="296" spans="2:9" ht="15.75" x14ac:dyDescent="0.25">
      <c r="B296" s="123" t="str">
        <f ca="1">IFERROR(__xludf.DUMMYFUNCTION("""COMPUTED_VALUE"""),"круг")</f>
        <v>круг</v>
      </c>
      <c r="C296" s="133" t="str">
        <f ca="1">IFERROR(__xludf.DUMMYFUNCTION("""COMPUTED_VALUE"""),"09Х16Н4Б (ЭП56)")</f>
        <v>09Х16Н4Б (ЭП56)</v>
      </c>
      <c r="D296" s="124">
        <f ca="1">IFERROR(__xludf.DUMMYFUNCTION("""COMPUTED_VALUE"""),95)</f>
        <v>95</v>
      </c>
      <c r="E296" s="124"/>
      <c r="F296" s="112" t="str">
        <f ca="1">IFERROR(__xludf.DUMMYFUNCTION("""COMPUTED_VALUE"""),"ту14-1-3564, РТТ, УЗК,2ГП, ")</f>
        <v xml:space="preserve">ту14-1-3564, РТТ, УЗК,2ГП, </v>
      </c>
      <c r="G296" s="125">
        <f ca="1">IFERROR(__xludf.DUMMYFUNCTION("""COMPUTED_VALUE"""),4.23)</f>
        <v>4.2300000000000004</v>
      </c>
      <c r="H296" s="125"/>
      <c r="I296" s="131">
        <f ca="1">IFERROR(__xludf.DUMMYFUNCTION("""COMPUTED_VALUE"""),650000)</f>
        <v>650000</v>
      </c>
    </row>
    <row r="297" spans="2:9" ht="15.75" x14ac:dyDescent="0.25">
      <c r="B297" s="123" t="str">
        <f ca="1">IFERROR(__xludf.DUMMYFUNCTION("""COMPUTED_VALUE"""),"круг")</f>
        <v>круг</v>
      </c>
      <c r="C297" s="133" t="str">
        <f ca="1">IFERROR(__xludf.DUMMYFUNCTION("""COMPUTED_VALUE"""),"09Х16Н4Б (ЭП56)")</f>
        <v>09Х16Н4Б (ЭП56)</v>
      </c>
      <c r="D297" s="124">
        <f ca="1">IFERROR(__xludf.DUMMYFUNCTION("""COMPUTED_VALUE"""),95)</f>
        <v>95</v>
      </c>
      <c r="E297" s="124"/>
      <c r="F297" s="112" t="str">
        <f ca="1">IFERROR(__xludf.DUMMYFUNCTION("""COMPUTED_VALUE"""),"ту14-1-3564, РТТ, УЗК,2ГП, ")</f>
        <v xml:space="preserve">ту14-1-3564, РТТ, УЗК,2ГП, </v>
      </c>
      <c r="G297" s="125">
        <f ca="1">IFERROR(__xludf.DUMMYFUNCTION("""COMPUTED_VALUE"""),1.76999999999999)</f>
        <v>1.76999999999999</v>
      </c>
      <c r="H297" s="125"/>
      <c r="I297" s="131">
        <f ca="1">IFERROR(__xludf.DUMMYFUNCTION("""COMPUTED_VALUE"""),650000)</f>
        <v>650000</v>
      </c>
    </row>
    <row r="298" spans="2:9" ht="15.75" x14ac:dyDescent="0.25">
      <c r="B298" s="123" t="str">
        <f ca="1">IFERROR(__xludf.DUMMYFUNCTION("""COMPUTED_VALUE"""),"круг")</f>
        <v>круг</v>
      </c>
      <c r="C298" s="133" t="str">
        <f ca="1">IFERROR(__xludf.DUMMYFUNCTION("""COMPUTED_VALUE"""),"09Х16Н4Б (ЭП56)")</f>
        <v>09Х16Н4Б (ЭП56)</v>
      </c>
      <c r="D298" s="124">
        <f ca="1">IFERROR(__xludf.DUMMYFUNCTION("""COMPUTED_VALUE"""),100)</f>
        <v>100</v>
      </c>
      <c r="E298" s="124"/>
      <c r="F298" s="112" t="str">
        <f ca="1">IFERROR(__xludf.DUMMYFUNCTION("""COMPUTED_VALUE"""),"ТУ 14-1-3564, ГОСТ 2590 , ТО, узк, 2гп без РТ")</f>
        <v>ТУ 14-1-3564, ГОСТ 2590 , ТО, узк, 2гп без РТ</v>
      </c>
      <c r="G298" s="125">
        <f ca="1">IFERROR(__xludf.DUMMYFUNCTION("""COMPUTED_VALUE"""),0.257)</f>
        <v>0.25700000000000001</v>
      </c>
      <c r="H298" s="125"/>
      <c r="I298" s="131">
        <f ca="1">IFERROR(__xludf.DUMMYFUNCTION("""COMPUTED_VALUE"""),695000)</f>
        <v>695000</v>
      </c>
    </row>
    <row r="299" spans="2:9" ht="15.75" x14ac:dyDescent="0.25">
      <c r="B299" s="123" t="str">
        <f ca="1">IFERROR(__xludf.DUMMYFUNCTION("""COMPUTED_VALUE"""),"круг")</f>
        <v>круг</v>
      </c>
      <c r="C299" s="133" t="str">
        <f ca="1">IFERROR(__xludf.DUMMYFUNCTION("""COMPUTED_VALUE"""),"09Х16Н4Б (ЭП56)")</f>
        <v>09Х16Н4Б (ЭП56)</v>
      </c>
      <c r="D299" s="124">
        <f ca="1">IFERROR(__xludf.DUMMYFUNCTION("""COMPUTED_VALUE"""),100)</f>
        <v>100</v>
      </c>
      <c r="E299" s="124"/>
      <c r="F299" s="112" t="str">
        <f ca="1">IFERROR(__xludf.DUMMYFUNCTION("""COMPUTED_VALUE"""),"ту14-1-3564, РТТ, УЗК,2ГП, ")</f>
        <v xml:space="preserve">ту14-1-3564, РТТ, УЗК,2ГП, </v>
      </c>
      <c r="G299" s="125">
        <f ca="1">IFERROR(__xludf.DUMMYFUNCTION("""COMPUTED_VALUE"""),1.178)</f>
        <v>1.1779999999999999</v>
      </c>
      <c r="H299" s="125"/>
      <c r="I299" s="131">
        <f ca="1">IFERROR(__xludf.DUMMYFUNCTION("""COMPUTED_VALUE"""),680000)</f>
        <v>680000</v>
      </c>
    </row>
    <row r="300" spans="2:9" ht="15.75" x14ac:dyDescent="0.25">
      <c r="B300" s="123" t="str">
        <f ca="1">IFERROR(__xludf.DUMMYFUNCTION("""COMPUTED_VALUE"""),"круг")</f>
        <v>круг</v>
      </c>
      <c r="C300" s="133" t="str">
        <f ca="1">IFERROR(__xludf.DUMMYFUNCTION("""COMPUTED_VALUE"""),"09Х16Н4Б (ЭП56)")</f>
        <v>09Х16Н4Б (ЭП56)</v>
      </c>
      <c r="D300" s="124">
        <f ca="1">IFERROR(__xludf.DUMMYFUNCTION("""COMPUTED_VALUE"""),100)</f>
        <v>100</v>
      </c>
      <c r="E300" s="124"/>
      <c r="F300" s="112" t="str">
        <f ca="1">IFERROR(__xludf.DUMMYFUNCTION("""COMPUTED_VALUE"""),"ту14-1-3564, РТТ, УЗК,2ГП, ")</f>
        <v xml:space="preserve">ту14-1-3564, РТТ, УЗК,2ГП, </v>
      </c>
      <c r="G300" s="125">
        <f ca="1">IFERROR(__xludf.DUMMYFUNCTION("""COMPUTED_VALUE"""),0.26)</f>
        <v>0.26</v>
      </c>
      <c r="H300" s="125"/>
      <c r="I300" s="131">
        <f ca="1">IFERROR(__xludf.DUMMYFUNCTION("""COMPUTED_VALUE"""),680000)</f>
        <v>680000</v>
      </c>
    </row>
    <row r="301" spans="2:9" ht="15.75" x14ac:dyDescent="0.25">
      <c r="B301" s="123" t="str">
        <f ca="1">IFERROR(__xludf.DUMMYFUNCTION("""COMPUTED_VALUE"""),"круг")</f>
        <v>круг</v>
      </c>
      <c r="C301" s="133" t="str">
        <f ca="1">IFERROR(__xludf.DUMMYFUNCTION("""COMPUTED_VALUE"""),"09Х16Н4Б (ЭП56)")</f>
        <v>09Х16Н4Б (ЭП56)</v>
      </c>
      <c r="D301" s="124">
        <f ca="1">IFERROR(__xludf.DUMMYFUNCTION("""COMPUTED_VALUE"""),100)</f>
        <v>100</v>
      </c>
      <c r="E301" s="124"/>
      <c r="F301" s="112" t="str">
        <f ca="1">IFERROR(__xludf.DUMMYFUNCTION("""COMPUTED_VALUE"""),"ту14-1-3564, РТТ, УЗК,2ГП, ")</f>
        <v xml:space="preserve">ту14-1-3564, РТТ, УЗК,2ГП, </v>
      </c>
      <c r="G301" s="125">
        <f ca="1">IFERROR(__xludf.DUMMYFUNCTION("""COMPUTED_VALUE"""),0.825)</f>
        <v>0.82499999999999996</v>
      </c>
      <c r="H301" s="125"/>
      <c r="I301" s="131">
        <f ca="1">IFERROR(__xludf.DUMMYFUNCTION("""COMPUTED_VALUE"""),680000)</f>
        <v>680000</v>
      </c>
    </row>
    <row r="302" spans="2:9" ht="15.75" x14ac:dyDescent="0.25">
      <c r="B302" s="123" t="str">
        <f ca="1">IFERROR(__xludf.DUMMYFUNCTION("""COMPUTED_VALUE"""),"круг")</f>
        <v>круг</v>
      </c>
      <c r="C302" s="133" t="str">
        <f ca="1">IFERROR(__xludf.DUMMYFUNCTION("""COMPUTED_VALUE"""),"09Х16Н4Б (ЭП56)")</f>
        <v>09Х16Н4Б (ЭП56)</v>
      </c>
      <c r="D302" s="124">
        <f ca="1">IFERROR(__xludf.DUMMYFUNCTION("""COMPUTED_VALUE"""),105)</f>
        <v>105</v>
      </c>
      <c r="E302" s="124"/>
      <c r="F302" s="112" t="str">
        <f ca="1">IFERROR(__xludf.DUMMYFUNCTION("""COMPUTED_VALUE"""),"ТУ 14-1-3564, ГОСТ 2590 , ТО, узк, 2гп без РТ")</f>
        <v>ТУ 14-1-3564, ГОСТ 2590 , ТО, узк, 2гп без РТ</v>
      </c>
      <c r="G302" s="125">
        <f ca="1">IFERROR(__xludf.DUMMYFUNCTION("""COMPUTED_VALUE"""),1.66)</f>
        <v>1.66</v>
      </c>
      <c r="H302" s="125"/>
      <c r="I302" s="131">
        <f ca="1">IFERROR(__xludf.DUMMYFUNCTION("""COMPUTED_VALUE"""),695000)</f>
        <v>695000</v>
      </c>
    </row>
    <row r="303" spans="2:9" ht="15.75" x14ac:dyDescent="0.25">
      <c r="B303" s="123" t="str">
        <f ca="1">IFERROR(__xludf.DUMMYFUNCTION("""COMPUTED_VALUE"""),"круг")</f>
        <v>круг</v>
      </c>
      <c r="C303" s="133" t="str">
        <f ca="1">IFERROR(__xludf.DUMMYFUNCTION("""COMPUTED_VALUE"""),"09Х16Н4Б (ЭП56)")</f>
        <v>09Х16Н4Б (ЭП56)</v>
      </c>
      <c r="D303" s="124">
        <f ca="1">IFERROR(__xludf.DUMMYFUNCTION("""COMPUTED_VALUE"""),105)</f>
        <v>105</v>
      </c>
      <c r="E303" s="124"/>
      <c r="F303" s="112" t="str">
        <f ca="1">IFERROR(__xludf.DUMMYFUNCTION("""COMPUTED_VALUE"""),"ТУ 14-1-3564, ГОСТ 2590 , ТО, узк, 2гп без РТ")</f>
        <v>ТУ 14-1-3564, ГОСТ 2590 , ТО, узк, 2гп без РТ</v>
      </c>
      <c r="G303" s="125">
        <f ca="1">IFERROR(__xludf.DUMMYFUNCTION("""COMPUTED_VALUE"""),3.785)</f>
        <v>3.7850000000000001</v>
      </c>
      <c r="H303" s="125"/>
      <c r="I303" s="131">
        <f ca="1">IFERROR(__xludf.DUMMYFUNCTION("""COMPUTED_VALUE"""),695000)</f>
        <v>695000</v>
      </c>
    </row>
    <row r="304" spans="2:9" ht="15.75" x14ac:dyDescent="0.25">
      <c r="B304" s="123" t="str">
        <f ca="1">IFERROR(__xludf.DUMMYFUNCTION("""COMPUTED_VALUE"""),"круг")</f>
        <v>круг</v>
      </c>
      <c r="C304" s="133" t="str">
        <f ca="1">IFERROR(__xludf.DUMMYFUNCTION("""COMPUTED_VALUE"""),"09Х16Н4Б (ЭП56)")</f>
        <v>09Х16Н4Б (ЭП56)</v>
      </c>
      <c r="D304" s="124">
        <f ca="1">IFERROR(__xludf.DUMMYFUNCTION("""COMPUTED_VALUE"""),110)</f>
        <v>110</v>
      </c>
      <c r="E304" s="124"/>
      <c r="F304" s="112" t="str">
        <f ca="1">IFERROR(__xludf.DUMMYFUNCTION("""COMPUTED_VALUE"""),"ГОСТ 5632, РТТ, УЗК,3ГП, ")</f>
        <v xml:space="preserve">ГОСТ 5632, РТТ, УЗК,3ГП, </v>
      </c>
      <c r="G304" s="125">
        <f ca="1">IFERROR(__xludf.DUMMYFUNCTION("""COMPUTED_VALUE"""),0.0489999999999999)</f>
        <v>4.8999999999999898E-2</v>
      </c>
      <c r="H304" s="125"/>
      <c r="I304" s="131">
        <f ca="1">IFERROR(__xludf.DUMMYFUNCTION("""COMPUTED_VALUE"""),680000)</f>
        <v>680000</v>
      </c>
    </row>
    <row r="305" spans="2:9" ht="15.75" x14ac:dyDescent="0.25">
      <c r="B305" s="123" t="str">
        <f ca="1">IFERROR(__xludf.DUMMYFUNCTION("""COMPUTED_VALUE"""),"круг")</f>
        <v>круг</v>
      </c>
      <c r="C305" s="133" t="str">
        <f ca="1">IFERROR(__xludf.DUMMYFUNCTION("""COMPUTED_VALUE"""),"09Х16Н4Б (ЭП56)")</f>
        <v>09Х16Н4Б (ЭП56)</v>
      </c>
      <c r="D305" s="124">
        <f ca="1">IFERROR(__xludf.DUMMYFUNCTION("""COMPUTED_VALUE"""),120)</f>
        <v>120</v>
      </c>
      <c r="E305" s="124"/>
      <c r="F305" s="112" t="str">
        <f ca="1">IFERROR(__xludf.DUMMYFUNCTION("""COMPUTED_VALUE"""),"ГОСТ 5632, РТТ, УЗК,3ГП, ")</f>
        <v xml:space="preserve">ГОСТ 5632, РТТ, УЗК,3ГП, </v>
      </c>
      <c r="G305" s="125">
        <f ca="1">IFERROR(__xludf.DUMMYFUNCTION("""COMPUTED_VALUE"""),0.279999999999999)</f>
        <v>0.27999999999999903</v>
      </c>
      <c r="H305" s="125"/>
      <c r="I305" s="131">
        <f ca="1">IFERROR(__xludf.DUMMYFUNCTION("""COMPUTED_VALUE"""),680000)</f>
        <v>680000</v>
      </c>
    </row>
    <row r="306" spans="2:9" ht="15.75" x14ac:dyDescent="0.25">
      <c r="B306" s="123" t="str">
        <f ca="1">IFERROR(__xludf.DUMMYFUNCTION("""COMPUTED_VALUE"""),"круг")</f>
        <v>круг</v>
      </c>
      <c r="C306" s="133" t="str">
        <f ca="1">IFERROR(__xludf.DUMMYFUNCTION("""COMPUTED_VALUE"""),"09Х16Н4Б (ЭП56)")</f>
        <v>09Х16Н4Б (ЭП56)</v>
      </c>
      <c r="D306" s="124">
        <f ca="1">IFERROR(__xludf.DUMMYFUNCTION("""COMPUTED_VALUE"""),120)</f>
        <v>120</v>
      </c>
      <c r="E306" s="124"/>
      <c r="F306" s="112" t="str">
        <f ca="1">IFERROR(__xludf.DUMMYFUNCTION("""COMPUTED_VALUE"""),"ТУ 14-1-3564, ГОСТ 2590 , ТО, узк, 2гп без РТ")</f>
        <v>ТУ 14-1-3564, ГОСТ 2590 , ТО, узк, 2гп без РТ</v>
      </c>
      <c r="G306" s="125">
        <f ca="1">IFERROR(__xludf.DUMMYFUNCTION("""COMPUTED_VALUE"""),0.037)</f>
        <v>3.6999999999999998E-2</v>
      </c>
      <c r="H306" s="125"/>
      <c r="I306" s="131">
        <f ca="1">IFERROR(__xludf.DUMMYFUNCTION("""COMPUTED_VALUE"""),750000)</f>
        <v>750000</v>
      </c>
    </row>
    <row r="307" spans="2:9" ht="15.75" x14ac:dyDescent="0.25">
      <c r="B307" s="123" t="str">
        <f ca="1">IFERROR(__xludf.DUMMYFUNCTION("""COMPUTED_VALUE"""),"круг")</f>
        <v>круг</v>
      </c>
      <c r="C307" s="133" t="str">
        <f ca="1">IFERROR(__xludf.DUMMYFUNCTION("""COMPUTED_VALUE"""),"09Х16Н4Б (ЭП56)")</f>
        <v>09Х16Н4Б (ЭП56)</v>
      </c>
      <c r="D307" s="124">
        <f ca="1">IFERROR(__xludf.DUMMYFUNCTION("""COMPUTED_VALUE"""),130)</f>
        <v>130</v>
      </c>
      <c r="E307" s="124"/>
      <c r="F307" s="112" t="str">
        <f ca="1">IFERROR(__xludf.DUMMYFUNCTION("""COMPUTED_VALUE"""),"ГОСТ 5632, РТТ, УЗК,3ГП, ")</f>
        <v xml:space="preserve">ГОСТ 5632, РТТ, УЗК,3ГП, </v>
      </c>
      <c r="G307" s="125">
        <f ca="1">IFERROR(__xludf.DUMMYFUNCTION("""COMPUTED_VALUE"""),0.45)</f>
        <v>0.45</v>
      </c>
      <c r="H307" s="125"/>
      <c r="I307" s="131">
        <f ca="1">IFERROR(__xludf.DUMMYFUNCTION("""COMPUTED_VALUE"""),680000)</f>
        <v>680000</v>
      </c>
    </row>
    <row r="308" spans="2:9" ht="15.75" x14ac:dyDescent="0.25">
      <c r="B308" s="123" t="str">
        <f ca="1">IFERROR(__xludf.DUMMYFUNCTION("""COMPUTED_VALUE"""),"круг")</f>
        <v>круг</v>
      </c>
      <c r="C308" s="133" t="str">
        <f ca="1">IFERROR(__xludf.DUMMYFUNCTION("""COMPUTED_VALUE"""),"09Х16Н4Б (ЭП56)")</f>
        <v>09Х16Н4Б (ЭП56)</v>
      </c>
      <c r="D308" s="124">
        <f ca="1">IFERROR(__xludf.DUMMYFUNCTION("""COMPUTED_VALUE"""),130)</f>
        <v>130</v>
      </c>
      <c r="E308" s="124"/>
      <c r="F308" s="112" t="str">
        <f ca="1">IFERROR(__xludf.DUMMYFUNCTION("""COMPUTED_VALUE"""),"ГОСТ 5632, РТТ, УЗК,3ГП, ")</f>
        <v xml:space="preserve">ГОСТ 5632, РТТ, УЗК,3ГП, </v>
      </c>
      <c r="G308" s="125">
        <f ca="1">IFERROR(__xludf.DUMMYFUNCTION("""COMPUTED_VALUE"""),0.297)</f>
        <v>0.29699999999999999</v>
      </c>
      <c r="H308" s="125"/>
      <c r="I308" s="131">
        <f ca="1">IFERROR(__xludf.DUMMYFUNCTION("""COMPUTED_VALUE"""),680000)</f>
        <v>680000</v>
      </c>
    </row>
    <row r="309" spans="2:9" ht="15.75" x14ac:dyDescent="0.25">
      <c r="B309" s="123" t="str">
        <f ca="1">IFERROR(__xludf.DUMMYFUNCTION("""COMPUTED_VALUE"""),"круг")</f>
        <v>круг</v>
      </c>
      <c r="C309" s="133" t="str">
        <f ca="1">IFERROR(__xludf.DUMMYFUNCTION("""COMPUTED_VALUE"""),"09Х16Н4Б (ЭП56)")</f>
        <v>09Х16Н4Б (ЭП56)</v>
      </c>
      <c r="D309" s="124">
        <f ca="1">IFERROR(__xludf.DUMMYFUNCTION("""COMPUTED_VALUE"""),130)</f>
        <v>130</v>
      </c>
      <c r="E309" s="124"/>
      <c r="F309" s="112" t="str">
        <f ca="1">IFERROR(__xludf.DUMMYFUNCTION("""COMPUTED_VALUE"""),"ТУ 14-1-3564, ГОСТ 2590 , ТО, узк, 2гп без РТ")</f>
        <v>ТУ 14-1-3564, ГОСТ 2590 , ТО, узк, 2гп без РТ</v>
      </c>
      <c r="G309" s="125">
        <f ca="1">IFERROR(__xludf.DUMMYFUNCTION("""COMPUTED_VALUE"""),0.0649999999999995)</f>
        <v>6.4999999999999503E-2</v>
      </c>
      <c r="H309" s="125"/>
      <c r="I309" s="131">
        <f ca="1">IFERROR(__xludf.DUMMYFUNCTION("""COMPUTED_VALUE"""),750000)</f>
        <v>750000</v>
      </c>
    </row>
    <row r="310" spans="2:9" ht="15.75" x14ac:dyDescent="0.25">
      <c r="B310" s="123" t="str">
        <f ca="1">IFERROR(__xludf.DUMMYFUNCTION("""COMPUTED_VALUE"""),"круг")</f>
        <v>круг</v>
      </c>
      <c r="C310" s="133" t="str">
        <f ca="1">IFERROR(__xludf.DUMMYFUNCTION("""COMPUTED_VALUE"""),"09Х16Н4Б (ЭП56)")</f>
        <v>09Х16Н4Б (ЭП56)</v>
      </c>
      <c r="D310" s="124">
        <f ca="1">IFERROR(__xludf.DUMMYFUNCTION("""COMPUTED_VALUE"""),140)</f>
        <v>140</v>
      </c>
      <c r="E310" s="124"/>
      <c r="F310" s="112" t="str">
        <f ca="1">IFERROR(__xludf.DUMMYFUNCTION("""COMPUTED_VALUE"""),"ТУ 14-1-3564, ГОСТ 2590 , ТО, узк, 2гп без РТ")</f>
        <v>ТУ 14-1-3564, ГОСТ 2590 , ТО, узк, 2гп без РТ</v>
      </c>
      <c r="G310" s="125">
        <f ca="1">IFERROR(__xludf.DUMMYFUNCTION("""COMPUTED_VALUE"""),3.98099999999999)</f>
        <v>3.9809999999999901</v>
      </c>
      <c r="H310" s="125"/>
      <c r="I310" s="131">
        <f ca="1">IFERROR(__xludf.DUMMYFUNCTION("""COMPUTED_VALUE"""),750000)</f>
        <v>750000</v>
      </c>
    </row>
    <row r="311" spans="2:9" ht="15.75" x14ac:dyDescent="0.25">
      <c r="B311" s="123" t="str">
        <f ca="1">IFERROR(__xludf.DUMMYFUNCTION("""COMPUTED_VALUE"""),"круг")</f>
        <v>круг</v>
      </c>
      <c r="C311" s="133" t="str">
        <f ca="1">IFERROR(__xludf.DUMMYFUNCTION("""COMPUTED_VALUE"""),"09Х16Н4Б (ЭП56)")</f>
        <v>09Х16Н4Б (ЭП56)</v>
      </c>
      <c r="D311" s="124">
        <f ca="1">IFERROR(__xludf.DUMMYFUNCTION("""COMPUTED_VALUE"""),140)</f>
        <v>140</v>
      </c>
      <c r="E311" s="124"/>
      <c r="F311" s="112" t="str">
        <f ca="1">IFERROR(__xludf.DUMMYFUNCTION("""COMPUTED_VALUE"""),"ТУ 14-1-3564, ГОСТ 2590 , ТО, узк, 2гп без РТ")</f>
        <v>ТУ 14-1-3564, ГОСТ 2590 , ТО, узк, 2гп без РТ</v>
      </c>
      <c r="G311" s="125">
        <f ca="1">IFERROR(__xludf.DUMMYFUNCTION("""COMPUTED_VALUE"""),3.385)</f>
        <v>3.3849999999999998</v>
      </c>
      <c r="H311" s="125"/>
      <c r="I311" s="131">
        <f ca="1">IFERROR(__xludf.DUMMYFUNCTION("""COMPUTED_VALUE"""),750000)</f>
        <v>750000</v>
      </c>
    </row>
    <row r="312" spans="2:9" ht="15.75" x14ac:dyDescent="0.25">
      <c r="B312" s="123" t="str">
        <f ca="1">IFERROR(__xludf.DUMMYFUNCTION("""COMPUTED_VALUE"""),"круг")</f>
        <v>круг</v>
      </c>
      <c r="C312" s="133" t="str">
        <f ca="1">IFERROR(__xludf.DUMMYFUNCTION("""COMPUTED_VALUE"""),"09Х16Н4Б (ЭП56)")</f>
        <v>09Х16Н4Б (ЭП56)</v>
      </c>
      <c r="D312" s="124">
        <f ca="1">IFERROR(__xludf.DUMMYFUNCTION("""COMPUTED_VALUE"""),150)</f>
        <v>150</v>
      </c>
      <c r="E312" s="124"/>
      <c r="F312" s="112" t="str">
        <f ca="1">IFERROR(__xludf.DUMMYFUNCTION("""COMPUTED_VALUE"""),"ТУ 14-1-3564, ГОСТ 2590 АТП, ТО, узк, 3гп")</f>
        <v>ТУ 14-1-3564, ГОСТ 2590 АТП, ТО, узк, 3гп</v>
      </c>
      <c r="G312" s="125">
        <f ca="1">IFERROR(__xludf.DUMMYFUNCTION("""COMPUTED_VALUE"""),0.125)</f>
        <v>0.125</v>
      </c>
      <c r="H312" s="125"/>
      <c r="I312" s="131">
        <f ca="1">IFERROR(__xludf.DUMMYFUNCTION("""COMPUTED_VALUE"""),745000)</f>
        <v>745000</v>
      </c>
    </row>
    <row r="313" spans="2:9" ht="15.75" x14ac:dyDescent="0.25">
      <c r="B313" s="123" t="str">
        <f ca="1">IFERROR(__xludf.DUMMYFUNCTION("""COMPUTED_VALUE"""),"круг")</f>
        <v>круг</v>
      </c>
      <c r="C313" s="133" t="str">
        <f ca="1">IFERROR(__xludf.DUMMYFUNCTION("""COMPUTED_VALUE"""),"09Х16Н4Б (ЭП56)")</f>
        <v>09Х16Н4Б (ЭП56)</v>
      </c>
      <c r="D313" s="124">
        <f ca="1">IFERROR(__xludf.DUMMYFUNCTION("""COMPUTED_VALUE"""),150)</f>
        <v>150</v>
      </c>
      <c r="E313" s="124"/>
      <c r="F313" s="112" t="str">
        <f ca="1">IFERROR(__xludf.DUMMYFUNCTION("""COMPUTED_VALUE"""),"ТУ 14-1-3564, ГОСТ 2590 , ТО, узк, 2гп без РТ")</f>
        <v>ТУ 14-1-3564, ГОСТ 2590 , ТО, узк, 2гп без РТ</v>
      </c>
      <c r="G313" s="125">
        <f ca="1">IFERROR(__xludf.DUMMYFUNCTION("""COMPUTED_VALUE"""),4.796)</f>
        <v>4.7960000000000003</v>
      </c>
      <c r="H313" s="125"/>
      <c r="I313" s="131">
        <f ca="1">IFERROR(__xludf.DUMMYFUNCTION("""COMPUTED_VALUE"""),745000)</f>
        <v>745000</v>
      </c>
    </row>
    <row r="314" spans="2:9" ht="15.75" x14ac:dyDescent="0.25">
      <c r="B314" s="123" t="str">
        <f ca="1">IFERROR(__xludf.DUMMYFUNCTION("""COMPUTED_VALUE"""),"круг")</f>
        <v>круг</v>
      </c>
      <c r="C314" s="133" t="str">
        <f ca="1">IFERROR(__xludf.DUMMYFUNCTION("""COMPUTED_VALUE"""),"09Х16Н4Б (ЭП56)")</f>
        <v>09Х16Н4Б (ЭП56)</v>
      </c>
      <c r="D314" s="124">
        <f ca="1">IFERROR(__xludf.DUMMYFUNCTION("""COMPUTED_VALUE"""),150)</f>
        <v>150</v>
      </c>
      <c r="E314" s="124"/>
      <c r="F314" s="112" t="str">
        <f ca="1">IFERROR(__xludf.DUMMYFUNCTION("""COMPUTED_VALUE"""),"ТУ 14-1-3564, ГОСТ 2590 , ТО, узк, 2гп без РТ")</f>
        <v>ТУ 14-1-3564, ГОСТ 2590 , ТО, узк, 2гп без РТ</v>
      </c>
      <c r="G314" s="125">
        <f ca="1">IFERROR(__xludf.DUMMYFUNCTION("""COMPUTED_VALUE"""),1.945)</f>
        <v>1.9450000000000001</v>
      </c>
      <c r="H314" s="125"/>
      <c r="I314" s="131">
        <f ca="1">IFERROR(__xludf.DUMMYFUNCTION("""COMPUTED_VALUE"""),745000)</f>
        <v>745000</v>
      </c>
    </row>
    <row r="315" spans="2:9" ht="15.75" x14ac:dyDescent="0.25">
      <c r="B315" s="123" t="str">
        <f ca="1">IFERROR(__xludf.DUMMYFUNCTION("""COMPUTED_VALUE"""),"круг")</f>
        <v>круг</v>
      </c>
      <c r="C315" s="133" t="str">
        <f ca="1">IFERROR(__xludf.DUMMYFUNCTION("""COMPUTED_VALUE"""),"09Х16Н4Б (ЭП56)")</f>
        <v>09Х16Н4Б (ЭП56)</v>
      </c>
      <c r="D315" s="124">
        <f ca="1">IFERROR(__xludf.DUMMYFUNCTION("""COMPUTED_VALUE"""),160)</f>
        <v>160</v>
      </c>
      <c r="E315" s="124"/>
      <c r="F315" s="112" t="str">
        <f ca="1">IFERROR(__xludf.DUMMYFUNCTION("""COMPUTED_VALUE"""),"ТУ 14-1-3564, ГОСТ 2590 , ТО, узк, 2гп без РТ")</f>
        <v>ТУ 14-1-3564, ГОСТ 2590 , ТО, узк, 2гп без РТ</v>
      </c>
      <c r="G315" s="125">
        <f ca="1">IFERROR(__xludf.DUMMYFUNCTION("""COMPUTED_VALUE"""),0.331999999999999)</f>
        <v>0.33199999999999902</v>
      </c>
      <c r="H315" s="125"/>
      <c r="I315" s="131">
        <f ca="1">IFERROR(__xludf.DUMMYFUNCTION("""COMPUTED_VALUE"""),695000)</f>
        <v>695000</v>
      </c>
    </row>
    <row r="316" spans="2:9" ht="15.75" x14ac:dyDescent="0.25">
      <c r="B316" s="123" t="str">
        <f ca="1">IFERROR(__xludf.DUMMYFUNCTION("""COMPUTED_VALUE"""),"круг")</f>
        <v>круг</v>
      </c>
      <c r="C316" s="133" t="str">
        <f ca="1">IFERROR(__xludf.DUMMYFUNCTION("""COMPUTED_VALUE"""),"09Х16Н4Б (ЭП56)")</f>
        <v>09Х16Н4Б (ЭП56)</v>
      </c>
      <c r="D316" s="124">
        <f ca="1">IFERROR(__xludf.DUMMYFUNCTION("""COMPUTED_VALUE"""),160)</f>
        <v>160</v>
      </c>
      <c r="E316" s="124"/>
      <c r="F316" s="112" t="str">
        <f ca="1">IFERROR(__xludf.DUMMYFUNCTION("""COMPUTED_VALUE"""),"ту14-1-3564, РТТ, УЗК,2ГП, ")</f>
        <v xml:space="preserve">ту14-1-3564, РТТ, УЗК,2ГП, </v>
      </c>
      <c r="G316" s="125">
        <f ca="1">IFERROR(__xludf.DUMMYFUNCTION("""COMPUTED_VALUE"""),2.16)</f>
        <v>2.16</v>
      </c>
      <c r="H316" s="125"/>
      <c r="I316" s="131">
        <f ca="1">IFERROR(__xludf.DUMMYFUNCTION("""COMPUTED_VALUE"""),680000)</f>
        <v>680000</v>
      </c>
    </row>
    <row r="317" spans="2:9" ht="15.75" x14ac:dyDescent="0.25">
      <c r="B317" s="123" t="str">
        <f ca="1">IFERROR(__xludf.DUMMYFUNCTION("""COMPUTED_VALUE"""),"круг")</f>
        <v>круг</v>
      </c>
      <c r="C317" s="133" t="str">
        <f ca="1">IFERROR(__xludf.DUMMYFUNCTION("""COMPUTED_VALUE"""),"09Х16Н4Б (ЭП56)")</f>
        <v>09Х16Н4Б (ЭП56)</v>
      </c>
      <c r="D317" s="124">
        <f ca="1">IFERROR(__xludf.DUMMYFUNCTION("""COMPUTED_VALUE"""),170)</f>
        <v>170</v>
      </c>
      <c r="E317" s="124"/>
      <c r="F317" s="112" t="str">
        <f ca="1">IFERROR(__xludf.DUMMYFUNCTION("""COMPUTED_VALUE"""),"ГОСТ 5949, ГОСТ 2590 2гп, обточ.")</f>
        <v>ГОСТ 5949, ГОСТ 2590 2гп, обточ.</v>
      </c>
      <c r="G317" s="125">
        <f ca="1">IFERROR(__xludf.DUMMYFUNCTION("""COMPUTED_VALUE"""),2.08)</f>
        <v>2.08</v>
      </c>
      <c r="H317" s="125"/>
      <c r="I317" s="131">
        <f ca="1">IFERROR(__xludf.DUMMYFUNCTION("""COMPUTED_VALUE"""),695000)</f>
        <v>695000</v>
      </c>
    </row>
    <row r="318" spans="2:9" ht="15.75" x14ac:dyDescent="0.25">
      <c r="B318" s="123" t="str">
        <f ca="1">IFERROR(__xludf.DUMMYFUNCTION("""COMPUTED_VALUE"""),"круг")</f>
        <v>круг</v>
      </c>
      <c r="C318" s="133" t="str">
        <f ca="1">IFERROR(__xludf.DUMMYFUNCTION("""COMPUTED_VALUE"""),"09Х16Н4Б (ЭП56)")</f>
        <v>09Х16Н4Б (ЭП56)</v>
      </c>
      <c r="D318" s="124">
        <f ca="1">IFERROR(__xludf.DUMMYFUNCTION("""COMPUTED_VALUE"""),170)</f>
        <v>170</v>
      </c>
      <c r="E318" s="124"/>
      <c r="F318" s="112" t="str">
        <f ca="1">IFERROR(__xludf.DUMMYFUNCTION("""COMPUTED_VALUE"""),"ТУ 14-1-3564, ГОСТ 2590 , ТО, узк, 2гп без РТ")</f>
        <v>ТУ 14-1-3564, ГОСТ 2590 , ТО, узк, 2гп без РТ</v>
      </c>
      <c r="G318" s="125">
        <f ca="1">IFERROR(__xludf.DUMMYFUNCTION("""COMPUTED_VALUE"""),0.112)</f>
        <v>0.112</v>
      </c>
      <c r="H318" s="125"/>
      <c r="I318" s="131">
        <f ca="1">IFERROR(__xludf.DUMMYFUNCTION("""COMPUTED_VALUE"""),695000)</f>
        <v>695000</v>
      </c>
    </row>
    <row r="319" spans="2:9" ht="15.75" x14ac:dyDescent="0.25">
      <c r="B319" s="123" t="str">
        <f ca="1">IFERROR(__xludf.DUMMYFUNCTION("""COMPUTED_VALUE"""),"круг")</f>
        <v>круг</v>
      </c>
      <c r="C319" s="133" t="str">
        <f ca="1">IFERROR(__xludf.DUMMYFUNCTION("""COMPUTED_VALUE"""),"09Х16Н4Б (ЭП56)")</f>
        <v>09Х16Н4Б (ЭП56)</v>
      </c>
      <c r="D319" s="124">
        <f ca="1">IFERROR(__xludf.DUMMYFUNCTION("""COMPUTED_VALUE"""),170)</f>
        <v>170</v>
      </c>
      <c r="E319" s="124"/>
      <c r="F319" s="112" t="str">
        <f ca="1">IFERROR(__xludf.DUMMYFUNCTION("""COMPUTED_VALUE"""),"ТУ 14-1-3564, ГОСТ 2590 , ТО, узк, 2гп без РТ")</f>
        <v>ТУ 14-1-3564, ГОСТ 2590 , ТО, узк, 2гп без РТ</v>
      </c>
      <c r="G319" s="125">
        <f ca="1">IFERROR(__xludf.DUMMYFUNCTION("""COMPUTED_VALUE"""),1.88599999999999)</f>
        <v>1.8859999999999899</v>
      </c>
      <c r="H319" s="125"/>
      <c r="I319" s="131">
        <f ca="1">IFERROR(__xludf.DUMMYFUNCTION("""COMPUTED_VALUE"""),695000)</f>
        <v>695000</v>
      </c>
    </row>
    <row r="320" spans="2:9" ht="15.75" x14ac:dyDescent="0.25">
      <c r="B320" s="123" t="str">
        <f ca="1">IFERROR(__xludf.DUMMYFUNCTION("""COMPUTED_VALUE"""),"круг")</f>
        <v>круг</v>
      </c>
      <c r="C320" s="133" t="str">
        <f ca="1">IFERROR(__xludf.DUMMYFUNCTION("""COMPUTED_VALUE"""),"09Х16Н4Б (ЭП56)")</f>
        <v>09Х16Н4Б (ЭП56)</v>
      </c>
      <c r="D320" s="124">
        <f ca="1">IFERROR(__xludf.DUMMYFUNCTION("""COMPUTED_VALUE"""),170)</f>
        <v>170</v>
      </c>
      <c r="E320" s="124"/>
      <c r="F320" s="112" t="str">
        <f ca="1">IFERROR(__xludf.DUMMYFUNCTION("""COMPUTED_VALUE"""),"ТУ 14-1-3564, ГОСТ 2590 , ТО, узк, 2гп без РТ")</f>
        <v>ТУ 14-1-3564, ГОСТ 2590 , ТО, узк, 2гп без РТ</v>
      </c>
      <c r="G320" s="125">
        <f ca="1">IFERROR(__xludf.DUMMYFUNCTION("""COMPUTED_VALUE"""),4.17)</f>
        <v>4.17</v>
      </c>
      <c r="H320" s="125"/>
      <c r="I320" s="131">
        <f ca="1">IFERROR(__xludf.DUMMYFUNCTION("""COMPUTED_VALUE"""),695000)</f>
        <v>695000</v>
      </c>
    </row>
    <row r="321" spans="2:9" ht="15.75" x14ac:dyDescent="0.25">
      <c r="B321" s="123" t="str">
        <f ca="1">IFERROR(__xludf.DUMMYFUNCTION("""COMPUTED_VALUE"""),"круг")</f>
        <v>круг</v>
      </c>
      <c r="C321" s="133" t="str">
        <f ca="1">IFERROR(__xludf.DUMMYFUNCTION("""COMPUTED_VALUE"""),"09Х16Н4Б (ЭП56)")</f>
        <v>09Х16Н4Б (ЭП56)</v>
      </c>
      <c r="D321" s="124">
        <f ca="1">IFERROR(__xludf.DUMMYFUNCTION("""COMPUTED_VALUE"""),180)</f>
        <v>180</v>
      </c>
      <c r="E321" s="124"/>
      <c r="F321" s="112" t="str">
        <f ca="1">IFERROR(__xludf.DUMMYFUNCTION("""COMPUTED_VALUE"""),"ТУ 14-1-3564, ГОСТ 2590 , ТО, узк, 2гп без РТ")</f>
        <v>ТУ 14-1-3564, ГОСТ 2590 , ТО, узк, 2гп без РТ</v>
      </c>
      <c r="G321" s="125">
        <f ca="1">IFERROR(__xludf.DUMMYFUNCTION("""COMPUTED_VALUE"""),1.815)</f>
        <v>1.8149999999999999</v>
      </c>
      <c r="H321" s="125"/>
      <c r="I321" s="131">
        <f ca="1">IFERROR(__xludf.DUMMYFUNCTION("""COMPUTED_VALUE"""),745000)</f>
        <v>745000</v>
      </c>
    </row>
    <row r="322" spans="2:9" ht="15.75" x14ac:dyDescent="0.25">
      <c r="B322" s="123" t="str">
        <f ca="1">IFERROR(__xludf.DUMMYFUNCTION("""COMPUTED_VALUE"""),"круг")</f>
        <v>круг</v>
      </c>
      <c r="C322" s="133" t="str">
        <f ca="1">IFERROR(__xludf.DUMMYFUNCTION("""COMPUTED_VALUE"""),"09Х16Н4Б (ЭП56)")</f>
        <v>09Х16Н4Б (ЭП56)</v>
      </c>
      <c r="D322" s="124">
        <f ca="1">IFERROR(__xludf.DUMMYFUNCTION("""COMPUTED_VALUE"""),180)</f>
        <v>180</v>
      </c>
      <c r="E322" s="124"/>
      <c r="F322" s="112" t="str">
        <f ca="1">IFERROR(__xludf.DUMMYFUNCTION("""COMPUTED_VALUE"""),"ТУ 14-1-3564, ГОСТ 2590 , ТО, узк, 2гп без РТ")</f>
        <v>ТУ 14-1-3564, ГОСТ 2590 , ТО, узк, 2гп без РТ</v>
      </c>
      <c r="G322" s="125">
        <f ca="1">IFERROR(__xludf.DUMMYFUNCTION("""COMPUTED_VALUE"""),2.635)</f>
        <v>2.6349999999999998</v>
      </c>
      <c r="H322" s="125"/>
      <c r="I322" s="131">
        <f ca="1">IFERROR(__xludf.DUMMYFUNCTION("""COMPUTED_VALUE"""),745000)</f>
        <v>745000</v>
      </c>
    </row>
    <row r="323" spans="2:9" ht="15.75" x14ac:dyDescent="0.25">
      <c r="B323" s="123" t="str">
        <f ca="1">IFERROR(__xludf.DUMMYFUNCTION("""COMPUTED_VALUE"""),"круг")</f>
        <v>круг</v>
      </c>
      <c r="C323" s="133" t="str">
        <f ca="1">IFERROR(__xludf.DUMMYFUNCTION("""COMPUTED_VALUE"""),"09Х16Н4Б (ЭП56)")</f>
        <v>09Х16Н4Б (ЭП56)</v>
      </c>
      <c r="D323" s="124">
        <f ca="1">IFERROR(__xludf.DUMMYFUNCTION("""COMPUTED_VALUE"""),190)</f>
        <v>190</v>
      </c>
      <c r="E323" s="124"/>
      <c r="F323" s="112" t="str">
        <f ca="1">IFERROR(__xludf.DUMMYFUNCTION("""COMPUTED_VALUE"""),"ТУ 14-1-3564, ГОСТ 2590 , ТО, узк, 2гп без РТ")</f>
        <v>ТУ 14-1-3564, ГОСТ 2590 , ТО, узк, 2гп без РТ</v>
      </c>
      <c r="G323" s="125">
        <f ca="1">IFERROR(__xludf.DUMMYFUNCTION("""COMPUTED_VALUE"""),0.672)</f>
        <v>0.67200000000000004</v>
      </c>
      <c r="H323" s="125"/>
      <c r="I323" s="131">
        <f ca="1">IFERROR(__xludf.DUMMYFUNCTION("""COMPUTED_VALUE"""),695000)</f>
        <v>695000</v>
      </c>
    </row>
    <row r="324" spans="2:9" ht="15.75" x14ac:dyDescent="0.25">
      <c r="B324" s="123" t="str">
        <f ca="1">IFERROR(__xludf.DUMMYFUNCTION("""COMPUTED_VALUE"""),"круг")</f>
        <v>круг</v>
      </c>
      <c r="C324" s="133" t="str">
        <f ca="1">IFERROR(__xludf.DUMMYFUNCTION("""COMPUTED_VALUE"""),"09Х16Н4Б (ЭП56)")</f>
        <v>09Х16Н4Б (ЭП56)</v>
      </c>
      <c r="D324" s="124">
        <f ca="1">IFERROR(__xludf.DUMMYFUNCTION("""COMPUTED_VALUE"""),190)</f>
        <v>190</v>
      </c>
      <c r="E324" s="124"/>
      <c r="F324" s="112" t="str">
        <f ca="1">IFERROR(__xludf.DUMMYFUNCTION("""COMPUTED_VALUE"""),"ту14-1-3564, РТТ, УЗК,2ГП, ")</f>
        <v xml:space="preserve">ту14-1-3564, РТТ, УЗК,2ГП, </v>
      </c>
      <c r="G324" s="125">
        <f ca="1">IFERROR(__xludf.DUMMYFUNCTION("""COMPUTED_VALUE"""),0.815)</f>
        <v>0.81499999999999995</v>
      </c>
      <c r="H324" s="125"/>
      <c r="I324" s="131">
        <f ca="1">IFERROR(__xludf.DUMMYFUNCTION("""COMPUTED_VALUE"""),680000)</f>
        <v>680000</v>
      </c>
    </row>
    <row r="325" spans="2:9" ht="15.75" x14ac:dyDescent="0.25">
      <c r="B325" s="123" t="str">
        <f ca="1">IFERROR(__xludf.DUMMYFUNCTION("""COMPUTED_VALUE"""),"круг")</f>
        <v>круг</v>
      </c>
      <c r="C325" s="133" t="str">
        <f ca="1">IFERROR(__xludf.DUMMYFUNCTION("""COMPUTED_VALUE"""),"09Х16Н4Б (ЭП56)")</f>
        <v>09Х16Н4Б (ЭП56)</v>
      </c>
      <c r="D325" s="124">
        <f ca="1">IFERROR(__xludf.DUMMYFUNCTION("""COMPUTED_VALUE"""),190)</f>
        <v>190</v>
      </c>
      <c r="E325" s="124"/>
      <c r="F325" s="112" t="str">
        <f ca="1">IFERROR(__xludf.DUMMYFUNCTION("""COMPUTED_VALUE"""),"ту14-1-3564, РТТ, УЗК,2ГП, ")</f>
        <v xml:space="preserve">ту14-1-3564, РТТ, УЗК,2ГП, </v>
      </c>
      <c r="G325" s="125">
        <f ca="1">IFERROR(__xludf.DUMMYFUNCTION("""COMPUTED_VALUE"""),0.825)</f>
        <v>0.82499999999999996</v>
      </c>
      <c r="H325" s="125"/>
      <c r="I325" s="131">
        <f ca="1">IFERROR(__xludf.DUMMYFUNCTION("""COMPUTED_VALUE"""),680000)</f>
        <v>680000</v>
      </c>
    </row>
    <row r="326" spans="2:9" ht="15.75" x14ac:dyDescent="0.25">
      <c r="B326" s="123" t="str">
        <f ca="1">IFERROR(__xludf.DUMMYFUNCTION("""COMPUTED_VALUE"""),"круг")</f>
        <v>круг</v>
      </c>
      <c r="C326" s="133" t="str">
        <f ca="1">IFERROR(__xludf.DUMMYFUNCTION("""COMPUTED_VALUE"""),"09Х16Н4Б (ЭП56)")</f>
        <v>09Х16Н4Б (ЭП56)</v>
      </c>
      <c r="D326" s="124">
        <f ca="1">IFERROR(__xludf.DUMMYFUNCTION("""COMPUTED_VALUE"""),190)</f>
        <v>190</v>
      </c>
      <c r="E326" s="124"/>
      <c r="F326" s="112" t="str">
        <f ca="1">IFERROR(__xludf.DUMMYFUNCTION("""COMPUTED_VALUE"""),"ту14-1-3564, РТТ, УЗК,2ГП, ")</f>
        <v xml:space="preserve">ту14-1-3564, РТТ, УЗК,2ГП, </v>
      </c>
      <c r="G326" s="125">
        <f ca="1">IFERROR(__xludf.DUMMYFUNCTION("""COMPUTED_VALUE"""),1.645)</f>
        <v>1.645</v>
      </c>
      <c r="H326" s="125"/>
      <c r="I326" s="131">
        <f ca="1">IFERROR(__xludf.DUMMYFUNCTION("""COMPUTED_VALUE"""),680000)</f>
        <v>680000</v>
      </c>
    </row>
    <row r="327" spans="2:9" ht="15.75" x14ac:dyDescent="0.25">
      <c r="B327" s="123" t="str">
        <f ca="1">IFERROR(__xludf.DUMMYFUNCTION("""COMPUTED_VALUE"""),"круг")</f>
        <v>круг</v>
      </c>
      <c r="C327" s="133" t="str">
        <f ca="1">IFERROR(__xludf.DUMMYFUNCTION("""COMPUTED_VALUE"""),"09Х16Н4Б (ЭП56)")</f>
        <v>09Х16Н4Б (ЭП56)</v>
      </c>
      <c r="D327" s="124">
        <f ca="1">IFERROR(__xludf.DUMMYFUNCTION("""COMPUTED_VALUE"""),220)</f>
        <v>220</v>
      </c>
      <c r="E327" s="124"/>
      <c r="F327" s="112" t="str">
        <f ca="1">IFERROR(__xludf.DUMMYFUNCTION("""COMPUTED_VALUE"""),"ГОСТ 5632/5949 ков.ТО, узк,обточ, РТТ")</f>
        <v>ГОСТ 5632/5949 ков.ТО, узк,обточ, РТТ</v>
      </c>
      <c r="G327" s="125">
        <f ca="1">IFERROR(__xludf.DUMMYFUNCTION("""COMPUTED_VALUE"""),2.752)</f>
        <v>2.7519999999999998</v>
      </c>
      <c r="H327" s="125"/>
      <c r="I327" s="131">
        <f ca="1">IFERROR(__xludf.DUMMYFUNCTION("""COMPUTED_VALUE"""),800000)</f>
        <v>800000</v>
      </c>
    </row>
    <row r="328" spans="2:9" ht="15.75" x14ac:dyDescent="0.25">
      <c r="B328" s="123" t="str">
        <f ca="1">IFERROR(__xludf.DUMMYFUNCTION("""COMPUTED_VALUE"""),"круг")</f>
        <v>круг</v>
      </c>
      <c r="C328" s="133" t="str">
        <f ca="1">IFERROR(__xludf.DUMMYFUNCTION("""COMPUTED_VALUE"""),"09Х16Н4Б (ЭП56)")</f>
        <v>09Х16Н4Б (ЭП56)</v>
      </c>
      <c r="D328" s="124">
        <f ca="1">IFERROR(__xludf.DUMMYFUNCTION("""COMPUTED_VALUE"""),250)</f>
        <v>250</v>
      </c>
      <c r="E328" s="124"/>
      <c r="F328" s="112" t="str">
        <f ca="1">IFERROR(__xludf.DUMMYFUNCTION("""COMPUTED_VALUE"""),"ГОСТ 5632/5949 ков.ТО, узк,обточ, РТТ")</f>
        <v>ГОСТ 5632/5949 ков.ТО, узк,обточ, РТТ</v>
      </c>
      <c r="G328" s="125">
        <f ca="1">IFERROR(__xludf.DUMMYFUNCTION("""COMPUTED_VALUE"""),1.4)</f>
        <v>1.4</v>
      </c>
      <c r="H328" s="125"/>
      <c r="I328" s="131">
        <f ca="1">IFERROR(__xludf.DUMMYFUNCTION("""COMPUTED_VALUE"""),800000)</f>
        <v>800000</v>
      </c>
    </row>
    <row r="329" spans="2:9" ht="15.75" x14ac:dyDescent="0.25">
      <c r="B329" s="123" t="str">
        <f ca="1">IFERROR(__xludf.DUMMYFUNCTION("""COMPUTED_VALUE"""),"круг")</f>
        <v>круг</v>
      </c>
      <c r="C329" s="133" t="str">
        <f ca="1">IFERROR(__xludf.DUMMYFUNCTION("""COMPUTED_VALUE"""),"09Х16Н4Б (ЭП56)")</f>
        <v>09Х16Н4Б (ЭП56)</v>
      </c>
      <c r="D329" s="124">
        <f ca="1">IFERROR(__xludf.DUMMYFUNCTION("""COMPUTED_VALUE"""),270)</f>
        <v>270</v>
      </c>
      <c r="E329" s="124"/>
      <c r="F329" s="112" t="str">
        <f ca="1">IFERROR(__xludf.DUMMYFUNCTION("""COMPUTED_VALUE"""),"ГОСТ 5632/5949 ков.ТО, узк,обточ, РТТ")</f>
        <v>ГОСТ 5632/5949 ков.ТО, узк,обточ, РТТ</v>
      </c>
      <c r="G329" s="125">
        <f ca="1">IFERROR(__xludf.DUMMYFUNCTION("""COMPUTED_VALUE"""),0.618999999999999)</f>
        <v>0.618999999999999</v>
      </c>
      <c r="H329" s="125"/>
      <c r="I329" s="131">
        <f ca="1">IFERROR(__xludf.DUMMYFUNCTION("""COMPUTED_VALUE"""),800000)</f>
        <v>800000</v>
      </c>
    </row>
    <row r="330" spans="2:9" ht="15.75" x14ac:dyDescent="0.25">
      <c r="B330" s="123" t="str">
        <f ca="1">IFERROR(__xludf.DUMMYFUNCTION("""COMPUTED_VALUE"""),"круг")</f>
        <v>круг</v>
      </c>
      <c r="C330" s="133" t="str">
        <f ca="1">IFERROR(__xludf.DUMMYFUNCTION("""COMPUTED_VALUE"""),"09Х16Н4Б (ЭП56)")</f>
        <v>09Х16Н4Б (ЭП56)</v>
      </c>
      <c r="D330" s="124">
        <f ca="1">IFERROR(__xludf.DUMMYFUNCTION("""COMPUTED_VALUE"""),270)</f>
        <v>270</v>
      </c>
      <c r="E330" s="124"/>
      <c r="F330" s="112" t="str">
        <f ca="1">IFERROR(__xludf.DUMMYFUNCTION("""COMPUTED_VALUE"""),"ГОСТ 5632/5949 ков.ТО, узк,обточ, РТТ")</f>
        <v>ГОСТ 5632/5949 ков.ТО, узк,обточ, РТТ</v>
      </c>
      <c r="G330" s="125">
        <f ca="1">IFERROR(__xludf.DUMMYFUNCTION("""COMPUTED_VALUE"""),1.41)</f>
        <v>1.41</v>
      </c>
      <c r="H330" s="125"/>
      <c r="I330" s="131">
        <f ca="1">IFERROR(__xludf.DUMMYFUNCTION("""COMPUTED_VALUE"""),800000)</f>
        <v>800000</v>
      </c>
    </row>
    <row r="331" spans="2:9" ht="15.75" x14ac:dyDescent="0.25">
      <c r="B331" s="123" t="str">
        <f ca="1">IFERROR(__xludf.DUMMYFUNCTION("""COMPUTED_VALUE"""),"круг")</f>
        <v>круг</v>
      </c>
      <c r="C331" s="133" t="str">
        <f ca="1">IFERROR(__xludf.DUMMYFUNCTION("""COMPUTED_VALUE"""),"09Х16Н4Б (ЭП56)")</f>
        <v>09Х16Н4Б (ЭП56)</v>
      </c>
      <c r="D331" s="124">
        <f ca="1">IFERROR(__xludf.DUMMYFUNCTION("""COMPUTED_VALUE"""),280)</f>
        <v>280</v>
      </c>
      <c r="E331" s="124"/>
      <c r="F331" s="112" t="str">
        <f ca="1">IFERROR(__xludf.DUMMYFUNCTION("""COMPUTED_VALUE"""),"ГОСТ 5632/5949 ков.ТО, узк,")</f>
        <v>ГОСТ 5632/5949 ков.ТО, узк,</v>
      </c>
      <c r="G331" s="125">
        <f ca="1">IFERROR(__xludf.DUMMYFUNCTION("""COMPUTED_VALUE"""),0.693)</f>
        <v>0.69299999999999995</v>
      </c>
      <c r="H331" s="125"/>
      <c r="I331" s="131">
        <f ca="1">IFERROR(__xludf.DUMMYFUNCTION("""COMPUTED_VALUE"""),800000)</f>
        <v>800000</v>
      </c>
    </row>
    <row r="332" spans="2:9" ht="15.75" x14ac:dyDescent="0.25">
      <c r="B332" s="123" t="str">
        <f ca="1">IFERROR(__xludf.DUMMYFUNCTION("""COMPUTED_VALUE"""),"круг")</f>
        <v>круг</v>
      </c>
      <c r="C332" s="133" t="str">
        <f ca="1">IFERROR(__xludf.DUMMYFUNCTION("""COMPUTED_VALUE"""),"09Х16Н4Б (ЭП56)")</f>
        <v>09Х16Н4Б (ЭП56)</v>
      </c>
      <c r="D332" s="124">
        <f ca="1">IFERROR(__xludf.DUMMYFUNCTION("""COMPUTED_VALUE"""),280)</f>
        <v>280</v>
      </c>
      <c r="E332" s="124"/>
      <c r="F332" s="112" t="str">
        <f ca="1">IFERROR(__xludf.DUMMYFUNCTION("""COMPUTED_VALUE"""),"ГОСТ 5632/5949 ков.ТО, узк,")</f>
        <v>ГОСТ 5632/5949 ков.ТО, узк,</v>
      </c>
      <c r="G332" s="125">
        <f ca="1">IFERROR(__xludf.DUMMYFUNCTION("""COMPUTED_VALUE"""),1.685)</f>
        <v>1.6850000000000001</v>
      </c>
      <c r="H332" s="125"/>
      <c r="I332" s="131">
        <f ca="1">IFERROR(__xludf.DUMMYFUNCTION("""COMPUTED_VALUE"""),800000)</f>
        <v>800000</v>
      </c>
    </row>
    <row r="333" spans="2:9" ht="15.75" x14ac:dyDescent="0.25">
      <c r="B333" s="123" t="str">
        <f ca="1">IFERROR(__xludf.DUMMYFUNCTION("""COMPUTED_VALUE"""),"круг")</f>
        <v>круг</v>
      </c>
      <c r="C333" s="133" t="str">
        <f ca="1">IFERROR(__xludf.DUMMYFUNCTION("""COMPUTED_VALUE"""),"09Х16Н4Б (ЭП56)")</f>
        <v>09Х16Н4Б (ЭП56)</v>
      </c>
      <c r="D333" s="124">
        <f ca="1">IFERROR(__xludf.DUMMYFUNCTION("""COMPUTED_VALUE"""),300)</f>
        <v>300</v>
      </c>
      <c r="E333" s="124"/>
      <c r="F333" s="112" t="str">
        <f ca="1">IFERROR(__xludf.DUMMYFUNCTION("""COMPUTED_VALUE"""),"ГОСТ 5632/5949 ков.ТО, узк,")</f>
        <v>ГОСТ 5632/5949 ков.ТО, узк,</v>
      </c>
      <c r="G333" s="125">
        <f ca="1">IFERROR(__xludf.DUMMYFUNCTION("""COMPUTED_VALUE"""),0.133)</f>
        <v>0.13300000000000001</v>
      </c>
      <c r="H333" s="125"/>
      <c r="I333" s="131">
        <f ca="1">IFERROR(__xludf.DUMMYFUNCTION("""COMPUTED_VALUE"""),600000)</f>
        <v>600000</v>
      </c>
    </row>
    <row r="334" spans="2:9" ht="15.75" x14ac:dyDescent="0.25">
      <c r="B334" s="123" t="str">
        <f ca="1">IFERROR(__xludf.DUMMYFUNCTION("""COMPUTED_VALUE"""),"круг")</f>
        <v>круг</v>
      </c>
      <c r="C334" s="133" t="str">
        <f ca="1">IFERROR(__xludf.DUMMYFUNCTION("""COMPUTED_VALUE"""),"09Х16Н4Б (ЭП56)")</f>
        <v>09Х16Н4Б (ЭП56)</v>
      </c>
      <c r="D334" s="124">
        <f ca="1">IFERROR(__xludf.DUMMYFUNCTION("""COMPUTED_VALUE"""),300)</f>
        <v>300</v>
      </c>
      <c r="E334" s="124"/>
      <c r="F334" s="112" t="str">
        <f ca="1">IFERROR(__xludf.DUMMYFUNCTION("""COMPUTED_VALUE"""),"ГОСТ 5632/5949 ков.ТО, узк,обточ, РТТ")</f>
        <v>ГОСТ 5632/5949 ков.ТО, узк,обточ, РТТ</v>
      </c>
      <c r="G334" s="125">
        <f ca="1">IFERROR(__xludf.DUMMYFUNCTION("""COMPUTED_VALUE"""),0.727)</f>
        <v>0.72699999999999998</v>
      </c>
      <c r="H334" s="125"/>
      <c r="I334" s="131">
        <f ca="1">IFERROR(__xludf.DUMMYFUNCTION("""COMPUTED_VALUE"""),800000)</f>
        <v>800000</v>
      </c>
    </row>
    <row r="335" spans="2:9" ht="15.75" x14ac:dyDescent="0.25">
      <c r="B335" s="123" t="str">
        <f ca="1">IFERROR(__xludf.DUMMYFUNCTION("""COMPUTED_VALUE"""),"круг")</f>
        <v>круг</v>
      </c>
      <c r="C335" s="133" t="str">
        <f ca="1">IFERROR(__xludf.DUMMYFUNCTION("""COMPUTED_VALUE"""),"09Х16Н4Б (ЭП56)")</f>
        <v>09Х16Н4Б (ЭП56)</v>
      </c>
      <c r="D335" s="124">
        <f ca="1">IFERROR(__xludf.DUMMYFUNCTION("""COMPUTED_VALUE"""),300)</f>
        <v>300</v>
      </c>
      <c r="E335" s="124"/>
      <c r="F335" s="112" t="str">
        <f ca="1">IFERROR(__xludf.DUMMYFUNCTION("""COMPUTED_VALUE"""),"ГОСТ 5632/5949 ков.ТО, узк,обточ, РТТ")</f>
        <v>ГОСТ 5632/5949 ков.ТО, узк,обточ, РТТ</v>
      </c>
      <c r="G335" s="125">
        <f ca="1">IFERROR(__xludf.DUMMYFUNCTION("""COMPUTED_VALUE"""),2.355)</f>
        <v>2.355</v>
      </c>
      <c r="H335" s="125"/>
      <c r="I335" s="131">
        <f ca="1">IFERROR(__xludf.DUMMYFUNCTION("""COMPUTED_VALUE"""),800000)</f>
        <v>800000</v>
      </c>
    </row>
    <row r="336" spans="2:9" ht="15.75" x14ac:dyDescent="0.25">
      <c r="B336" s="123" t="str">
        <f ca="1">IFERROR(__xludf.DUMMYFUNCTION("""COMPUTED_VALUE"""),"круг")</f>
        <v>круг</v>
      </c>
      <c r="C336" s="133" t="str">
        <f ca="1">IFERROR(__xludf.DUMMYFUNCTION("""COMPUTED_VALUE"""),"09Х16Н4Б (ЭП56)")</f>
        <v>09Х16Н4Б (ЭП56)</v>
      </c>
      <c r="D336" s="124">
        <f ca="1">IFERROR(__xludf.DUMMYFUNCTION("""COMPUTED_VALUE"""),320)</f>
        <v>320</v>
      </c>
      <c r="E336" s="124"/>
      <c r="F336" s="112" t="str">
        <f ca="1">IFERROR(__xludf.DUMMYFUNCTION("""COMPUTED_VALUE"""),"ГОСТ 5632/5949 ков.ТО, узк,")</f>
        <v>ГОСТ 5632/5949 ков.ТО, узк,</v>
      </c>
      <c r="G336" s="125">
        <f ca="1">IFERROR(__xludf.DUMMYFUNCTION("""COMPUTED_VALUE"""),2.806)</f>
        <v>2.806</v>
      </c>
      <c r="H336" s="125"/>
      <c r="I336" s="131">
        <f ca="1">IFERROR(__xludf.DUMMYFUNCTION("""COMPUTED_VALUE"""),880000)</f>
        <v>880000</v>
      </c>
    </row>
    <row r="337" spans="2:9" ht="15.75" x14ac:dyDescent="0.25">
      <c r="B337" s="123" t="str">
        <f ca="1">IFERROR(__xludf.DUMMYFUNCTION("""COMPUTED_VALUE"""),"круг")</f>
        <v>круг</v>
      </c>
      <c r="C337" s="133" t="str">
        <f ca="1">IFERROR(__xludf.DUMMYFUNCTION("""COMPUTED_VALUE"""),"09Х16Н4Б (ЭП56)")</f>
        <v>09Х16Н4Б (ЭП56)</v>
      </c>
      <c r="D337" s="124">
        <f ca="1">IFERROR(__xludf.DUMMYFUNCTION("""COMPUTED_VALUE"""),350)</f>
        <v>350</v>
      </c>
      <c r="E337" s="124"/>
      <c r="F337" s="112" t="str">
        <f ca="1">IFERROR(__xludf.DUMMYFUNCTION("""COMPUTED_VALUE"""),"ГОСТ 5632/5949 ков.ТО, узк,")</f>
        <v>ГОСТ 5632/5949 ков.ТО, узк,</v>
      </c>
      <c r="G337" s="125">
        <f ca="1">IFERROR(__xludf.DUMMYFUNCTION("""COMPUTED_VALUE"""),1.70599999999999)</f>
        <v>1.70599999999999</v>
      </c>
      <c r="H337" s="125"/>
      <c r="I337" s="131">
        <f ca="1">IFERROR(__xludf.DUMMYFUNCTION("""COMPUTED_VALUE"""),880000)</f>
        <v>880000</v>
      </c>
    </row>
    <row r="338" spans="2:9" ht="15.75" x14ac:dyDescent="0.25">
      <c r="B338" s="123" t="str">
        <f ca="1">IFERROR(__xludf.DUMMYFUNCTION("""COMPUTED_VALUE"""),"круг")</f>
        <v>круг</v>
      </c>
      <c r="C338" s="133" t="str">
        <f ca="1">IFERROR(__xludf.DUMMYFUNCTION("""COMPUTED_VALUE"""),"09Х16Н4Б (ЭП56)")</f>
        <v>09Х16Н4Б (ЭП56)</v>
      </c>
      <c r="D338" s="124">
        <f ca="1">IFERROR(__xludf.DUMMYFUNCTION("""COMPUTED_VALUE"""),380)</f>
        <v>380</v>
      </c>
      <c r="E338" s="124"/>
      <c r="F338" s="112" t="str">
        <f ca="1">IFERROR(__xludf.DUMMYFUNCTION("""COMPUTED_VALUE"""),"ГОСТ 5632/5949 ков.ТО, узк,")</f>
        <v>ГОСТ 5632/5949 ков.ТО, узк,</v>
      </c>
      <c r="G338" s="125">
        <f ca="1">IFERROR(__xludf.DUMMYFUNCTION("""COMPUTED_VALUE"""),0.147999999999999)</f>
        <v>0.14799999999999899</v>
      </c>
      <c r="H338" s="125"/>
      <c r="I338" s="131">
        <f ca="1">IFERROR(__xludf.DUMMYFUNCTION("""COMPUTED_VALUE"""),860000)</f>
        <v>860000</v>
      </c>
    </row>
    <row r="339" spans="2:9" ht="15.75" x14ac:dyDescent="0.25">
      <c r="B339" s="123" t="str">
        <f ca="1">IFERROR(__xludf.DUMMYFUNCTION("""COMPUTED_VALUE"""),"круг")</f>
        <v>круг</v>
      </c>
      <c r="C339" s="133" t="str">
        <f ca="1">IFERROR(__xludf.DUMMYFUNCTION("""COMPUTED_VALUE"""),"09Х16Н4Б (ЭП56)")</f>
        <v>09Х16Н4Б (ЭП56)</v>
      </c>
      <c r="D339" s="124">
        <f ca="1">IFERROR(__xludf.DUMMYFUNCTION("""COMPUTED_VALUE"""),380)</f>
        <v>380</v>
      </c>
      <c r="E339" s="124"/>
      <c r="F339" s="112" t="str">
        <f ca="1">IFERROR(__xludf.DUMMYFUNCTION("""COMPUTED_VALUE"""),"ГОСТ 5632/5949 ков.ТО, узк,")</f>
        <v>ГОСТ 5632/5949 ков.ТО, узк,</v>
      </c>
      <c r="G339" s="125">
        <f ca="1">IFERROR(__xludf.DUMMYFUNCTION("""COMPUTED_VALUE"""),3.365)</f>
        <v>3.3650000000000002</v>
      </c>
      <c r="H339" s="125"/>
      <c r="I339" s="131">
        <f ca="1">IFERROR(__xludf.DUMMYFUNCTION("""COMPUTED_VALUE"""),800000)</f>
        <v>800000</v>
      </c>
    </row>
    <row r="340" spans="2:9" ht="15.75" x14ac:dyDescent="0.25">
      <c r="B340" s="123" t="str">
        <f ca="1">IFERROR(__xludf.DUMMYFUNCTION("""COMPUTED_VALUE"""),"круг")</f>
        <v>круг</v>
      </c>
      <c r="C340" s="133" t="str">
        <f ca="1">IFERROR(__xludf.DUMMYFUNCTION("""COMPUTED_VALUE"""),"09Х16Н4Б (ЭП56)")</f>
        <v>09Х16Н4Б (ЭП56)</v>
      </c>
      <c r="D340" s="124">
        <f ca="1">IFERROR(__xludf.DUMMYFUNCTION("""COMPUTED_VALUE"""),380)</f>
        <v>380</v>
      </c>
      <c r="E340" s="124"/>
      <c r="F340" s="112" t="str">
        <f ca="1">IFERROR(__xludf.DUMMYFUNCTION("""COMPUTED_VALUE"""),"ГОСТ 5632/5949 ков.ТО, узк,")</f>
        <v>ГОСТ 5632/5949 ков.ТО, узк,</v>
      </c>
      <c r="G340" s="125">
        <f ca="1">IFERROR(__xludf.DUMMYFUNCTION("""COMPUTED_VALUE"""),1.33)</f>
        <v>1.33</v>
      </c>
      <c r="H340" s="125"/>
      <c r="I340" s="131">
        <f ca="1">IFERROR(__xludf.DUMMYFUNCTION("""COMPUTED_VALUE"""),800000)</f>
        <v>800000</v>
      </c>
    </row>
    <row r="341" spans="2:9" ht="15.75" x14ac:dyDescent="0.25">
      <c r="B341" s="123" t="str">
        <f ca="1">IFERROR(__xludf.DUMMYFUNCTION("""COMPUTED_VALUE"""),"круг")</f>
        <v>круг</v>
      </c>
      <c r="C341" s="133" t="str">
        <f ca="1">IFERROR(__xludf.DUMMYFUNCTION("""COMPUTED_VALUE"""),"09Х16Н4Б (ЭП56)")</f>
        <v>09Х16Н4Б (ЭП56)</v>
      </c>
      <c r="D341" s="124">
        <f ca="1">IFERROR(__xludf.DUMMYFUNCTION("""COMPUTED_VALUE"""),400)</f>
        <v>400</v>
      </c>
      <c r="E341" s="124"/>
      <c r="F341" s="112" t="str">
        <f ca="1">IFERROR(__xludf.DUMMYFUNCTION("""COMPUTED_VALUE"""),"ГОСТ 5632/5949 ков.ТО, узк,")</f>
        <v>ГОСТ 5632/5949 ков.ТО, узк,</v>
      </c>
      <c r="G341" s="125">
        <f ca="1">IFERROR(__xludf.DUMMYFUNCTION("""COMPUTED_VALUE"""),0.095)</f>
        <v>9.5000000000000001E-2</v>
      </c>
      <c r="H341" s="125"/>
      <c r="I341" s="131">
        <f ca="1">IFERROR(__xludf.DUMMYFUNCTION("""COMPUTED_VALUE"""),880000)</f>
        <v>880000</v>
      </c>
    </row>
    <row r="342" spans="2:9" ht="15.75" x14ac:dyDescent="0.25">
      <c r="B342" s="123" t="str">
        <f ca="1">IFERROR(__xludf.DUMMYFUNCTION("""COMPUTED_VALUE"""),"круг")</f>
        <v>круг</v>
      </c>
      <c r="C342" s="133" t="str">
        <f ca="1">IFERROR(__xludf.DUMMYFUNCTION("""COMPUTED_VALUE"""),"09Х16Н4Б (ЭП56)")</f>
        <v>09Х16Н4Б (ЭП56)</v>
      </c>
      <c r="D342" s="124">
        <f ca="1">IFERROR(__xludf.DUMMYFUNCTION("""COMPUTED_VALUE"""),400)</f>
        <v>400</v>
      </c>
      <c r="E342" s="124"/>
      <c r="F342" s="112" t="str">
        <f ca="1">IFERROR(__xludf.DUMMYFUNCTION("""COMPUTED_VALUE"""),"ГОСТ 5632 ков.ТО.")</f>
        <v>ГОСТ 5632 ков.ТО.</v>
      </c>
      <c r="G342" s="125">
        <f ca="1">IFERROR(__xludf.DUMMYFUNCTION("""COMPUTED_VALUE"""),0.871)</f>
        <v>0.871</v>
      </c>
      <c r="H342" s="125"/>
      <c r="I342" s="131">
        <f ca="1">IFERROR(__xludf.DUMMYFUNCTION("""COMPUTED_VALUE"""),880000)</f>
        <v>880000</v>
      </c>
    </row>
    <row r="343" spans="2:9" ht="15.75" x14ac:dyDescent="0.25">
      <c r="B343" s="123" t="str">
        <f ca="1">IFERROR(__xludf.DUMMYFUNCTION("""COMPUTED_VALUE"""),"круг")</f>
        <v>круг</v>
      </c>
      <c r="C343" s="133" t="str">
        <f ca="1">IFERROR(__xludf.DUMMYFUNCTION("""COMPUTED_VALUE"""),"09Х16Н4Б (ЭП56)")</f>
        <v>09Х16Н4Б (ЭП56)</v>
      </c>
      <c r="D343" s="124">
        <f ca="1">IFERROR(__xludf.DUMMYFUNCTION("""COMPUTED_VALUE"""),400)</f>
        <v>400</v>
      </c>
      <c r="E343" s="124"/>
      <c r="F343" s="112" t="str">
        <f ca="1">IFERROR(__xludf.DUMMYFUNCTION("""COMPUTED_VALUE"""),"ГОСТ 5632/5949 ков.ТО, узк,")</f>
        <v>ГОСТ 5632/5949 ков.ТО, узк,</v>
      </c>
      <c r="G343" s="125">
        <f ca="1">IFERROR(__xludf.DUMMYFUNCTION("""COMPUTED_VALUE"""),3.08)</f>
        <v>3.08</v>
      </c>
      <c r="H343" s="125"/>
      <c r="I343" s="131">
        <f ca="1">IFERROR(__xludf.DUMMYFUNCTION("""COMPUTED_VALUE"""),880000)</f>
        <v>880000</v>
      </c>
    </row>
    <row r="344" spans="2:9" ht="15.75" x14ac:dyDescent="0.25">
      <c r="B344" s="123" t="str">
        <f ca="1">IFERROR(__xludf.DUMMYFUNCTION("""COMPUTED_VALUE"""),"круг")</f>
        <v>круг</v>
      </c>
      <c r="C344" s="133" t="str">
        <f ca="1">IFERROR(__xludf.DUMMYFUNCTION("""COMPUTED_VALUE"""),"09Х16Н4Б (ЭП56)")</f>
        <v>09Х16Н4Б (ЭП56)</v>
      </c>
      <c r="D344" s="124">
        <f ca="1">IFERROR(__xludf.DUMMYFUNCTION("""COMPUTED_VALUE"""),400)</f>
        <v>400</v>
      </c>
      <c r="E344" s="124"/>
      <c r="F344" s="112" t="str">
        <f ca="1">IFERROR(__xludf.DUMMYFUNCTION("""COMPUTED_VALUE"""),"ГОСТ 5632/5949 ков.ТО")</f>
        <v>ГОСТ 5632/5949 ков.ТО</v>
      </c>
      <c r="G344" s="125">
        <f ca="1">IFERROR(__xludf.DUMMYFUNCTION("""COMPUTED_VALUE"""),2.555)</f>
        <v>2.5550000000000002</v>
      </c>
      <c r="H344" s="125"/>
      <c r="I344" s="131">
        <f ca="1">IFERROR(__xludf.DUMMYFUNCTION("""COMPUTED_VALUE"""),880000)</f>
        <v>880000</v>
      </c>
    </row>
    <row r="345" spans="2:9" ht="15.75" x14ac:dyDescent="0.25">
      <c r="B345" s="123" t="str">
        <f ca="1">IFERROR(__xludf.DUMMYFUNCTION("""COMPUTED_VALUE"""),"круг")</f>
        <v>круг</v>
      </c>
      <c r="C345" s="133" t="str">
        <f ca="1">IFERROR(__xludf.DUMMYFUNCTION("""COMPUTED_VALUE"""),"09Х16Н4Б (ЭП56)")</f>
        <v>09Х16Н4Б (ЭП56)</v>
      </c>
      <c r="D345" s="124">
        <f ca="1">IFERROR(__xludf.DUMMYFUNCTION("""COMPUTED_VALUE"""),420)</f>
        <v>420</v>
      </c>
      <c r="E345" s="124"/>
      <c r="F345" s="112" t="str">
        <f ca="1">IFERROR(__xludf.DUMMYFUNCTION("""COMPUTED_VALUE"""),"ГОСТ 5632/5949 ков.ТО, узк,")</f>
        <v>ГОСТ 5632/5949 ков.ТО, узк,</v>
      </c>
      <c r="G345" s="125">
        <f ca="1">IFERROR(__xludf.DUMMYFUNCTION("""COMPUTED_VALUE"""),2.747)</f>
        <v>2.7469999999999999</v>
      </c>
      <c r="H345" s="125"/>
      <c r="I345" s="131">
        <f ca="1">IFERROR(__xludf.DUMMYFUNCTION("""COMPUTED_VALUE"""),860000)</f>
        <v>860000</v>
      </c>
    </row>
    <row r="346" spans="2:9" ht="15.75" x14ac:dyDescent="0.25">
      <c r="B346" s="123" t="str">
        <f ca="1">IFERROR(__xludf.DUMMYFUNCTION("""COMPUTED_VALUE"""),"круг")</f>
        <v>круг</v>
      </c>
      <c r="C346" s="133" t="str">
        <f ca="1">IFERROR(__xludf.DUMMYFUNCTION("""COMPUTED_VALUE"""),"09Х16Н4Б (ЭП56)")</f>
        <v>09Х16Н4Б (ЭП56)</v>
      </c>
      <c r="D346" s="124">
        <f ca="1">IFERROR(__xludf.DUMMYFUNCTION("""COMPUTED_VALUE"""),450)</f>
        <v>450</v>
      </c>
      <c r="E346" s="124"/>
      <c r="F346" s="112" t="str">
        <f ca="1">IFERROR(__xludf.DUMMYFUNCTION("""COMPUTED_VALUE"""),"ГОСТ 5632/5949 ков.ТО, узк,")</f>
        <v>ГОСТ 5632/5949 ков.ТО, узк,</v>
      </c>
      <c r="G346" s="125">
        <f ca="1">IFERROR(__xludf.DUMMYFUNCTION("""COMPUTED_VALUE"""),3.29299999999999)</f>
        <v>3.2929999999999899</v>
      </c>
      <c r="H346" s="125"/>
      <c r="I346" s="131">
        <f ca="1">IFERROR(__xludf.DUMMYFUNCTION("""COMPUTED_VALUE"""),860000)</f>
        <v>860000</v>
      </c>
    </row>
    <row r="347" spans="2:9" ht="15.75" x14ac:dyDescent="0.25">
      <c r="B347" s="123" t="str">
        <f ca="1">IFERROR(__xludf.DUMMYFUNCTION("""COMPUTED_VALUE"""),"круг")</f>
        <v>круг</v>
      </c>
      <c r="C347" s="133" t="str">
        <f ca="1">IFERROR(__xludf.DUMMYFUNCTION("""COMPUTED_VALUE"""),"09Х16Н4Б (ЭП56)")</f>
        <v>09Х16Н4Б (ЭП56)</v>
      </c>
      <c r="D347" s="124">
        <f ca="1">IFERROR(__xludf.DUMMYFUNCTION("""COMPUTED_VALUE"""),480)</f>
        <v>480</v>
      </c>
      <c r="E347" s="124"/>
      <c r="F347" s="112" t="str">
        <f ca="1">IFERROR(__xludf.DUMMYFUNCTION("""COMPUTED_VALUE"""),"ГОСТ 5632/5949 ков.ТО, узк,обточ, РТТ")</f>
        <v>ГОСТ 5632/5949 ков.ТО, узк,обточ, РТТ</v>
      </c>
      <c r="G347" s="125">
        <f ca="1">IFERROR(__xludf.DUMMYFUNCTION("""COMPUTED_VALUE"""),4.265)</f>
        <v>4.2649999999999997</v>
      </c>
      <c r="H347" s="125"/>
      <c r="I347" s="131">
        <f ca="1">IFERROR(__xludf.DUMMYFUNCTION("""COMPUTED_VALUE"""),800000)</f>
        <v>800000</v>
      </c>
    </row>
    <row r="348" spans="2:9" ht="15.75" x14ac:dyDescent="0.25">
      <c r="B348" s="123" t="str">
        <f ca="1">IFERROR(__xludf.DUMMYFUNCTION("""COMPUTED_VALUE"""),"круг")</f>
        <v>круг</v>
      </c>
      <c r="C348" s="133" t="str">
        <f ca="1">IFERROR(__xludf.DUMMYFUNCTION("""COMPUTED_VALUE"""),"09Х16Н4Б (ЭП56)")</f>
        <v>09Х16Н4Б (ЭП56)</v>
      </c>
      <c r="D348" s="124">
        <f ca="1">IFERROR(__xludf.DUMMYFUNCTION("""COMPUTED_VALUE"""),500)</f>
        <v>500</v>
      </c>
      <c r="E348" s="124"/>
      <c r="F348" s="112" t="str">
        <f ca="1">IFERROR(__xludf.DUMMYFUNCTION("""COMPUTED_VALUE"""),"ГОСТ 5632/5949 ков.ТО, узк,")</f>
        <v>ГОСТ 5632/5949 ков.ТО, узк,</v>
      </c>
      <c r="G348" s="125">
        <f ca="1">IFERROR(__xludf.DUMMYFUNCTION("""COMPUTED_VALUE"""),0.0919999999999996)</f>
        <v>9.1999999999999596E-2</v>
      </c>
      <c r="H348" s="125"/>
      <c r="I348" s="131">
        <f ca="1">IFERROR(__xludf.DUMMYFUNCTION("""COMPUTED_VALUE"""),860000)</f>
        <v>860000</v>
      </c>
    </row>
    <row r="349" spans="2:9" ht="15.75" x14ac:dyDescent="0.25">
      <c r="B349" s="123" t="str">
        <f ca="1">IFERROR(__xludf.DUMMYFUNCTION("""COMPUTED_VALUE"""),"круг")</f>
        <v>круг</v>
      </c>
      <c r="C349" s="133" t="str">
        <f ca="1">IFERROR(__xludf.DUMMYFUNCTION("""COMPUTED_VALUE"""),"09Х16Н4Б (ЭП56)")</f>
        <v>09Х16Н4Б (ЭП56)</v>
      </c>
      <c r="D349" s="124">
        <f ca="1">IFERROR(__xludf.DUMMYFUNCTION("""COMPUTED_VALUE"""),500)</f>
        <v>500</v>
      </c>
      <c r="E349" s="124"/>
      <c r="F349" s="112" t="str">
        <f ca="1">IFERROR(__xludf.DUMMYFUNCTION("""COMPUTED_VALUE"""),"ГОСТ 5632/5949 ков.ТО, узк,")</f>
        <v>ГОСТ 5632/5949 ков.ТО, узк,</v>
      </c>
      <c r="G349" s="125">
        <f ca="1">IFERROR(__xludf.DUMMYFUNCTION("""COMPUTED_VALUE"""),3.798)</f>
        <v>3.798</v>
      </c>
      <c r="H349" s="125"/>
      <c r="I349" s="131">
        <f ca="1">IFERROR(__xludf.DUMMYFUNCTION("""COMPUTED_VALUE"""),800000)</f>
        <v>800000</v>
      </c>
    </row>
    <row r="350" spans="2:9" ht="15.75" x14ac:dyDescent="0.25">
      <c r="B350" s="123" t="str">
        <f ca="1">IFERROR(__xludf.DUMMYFUNCTION("""COMPUTED_VALUE"""),"лист")</f>
        <v>лист</v>
      </c>
      <c r="C350" s="133" t="str">
        <f ca="1">IFERROR(__xludf.DUMMYFUNCTION("""COMPUTED_VALUE"""),"09Х16Н4Б (ЭП56)")</f>
        <v>09Х16Н4Б (ЭП56)</v>
      </c>
      <c r="D350" s="124">
        <f ca="1">IFERROR(__xludf.DUMMYFUNCTION("""COMPUTED_VALUE"""),35)</f>
        <v>35</v>
      </c>
      <c r="E350" s="124"/>
      <c r="F350" s="112" t="str">
        <f ca="1">IFERROR(__xludf.DUMMYFUNCTION("""COMPUTED_VALUE"""),"ГОСТ 5632/5949 ков.ТО, узк,")</f>
        <v>ГОСТ 5632/5949 ков.ТО, узк,</v>
      </c>
      <c r="G350" s="125">
        <f ca="1">IFERROR(__xludf.DUMMYFUNCTION("""COMPUTED_VALUE"""),0.0539196875)</f>
        <v>5.3919687500000001E-2</v>
      </c>
      <c r="H350" s="125"/>
      <c r="I350" s="131">
        <f ca="1">IFERROR(__xludf.DUMMYFUNCTION("""COMPUTED_VALUE"""),1000000)</f>
        <v>1000000</v>
      </c>
    </row>
    <row r="351" spans="2:9" ht="15.75" x14ac:dyDescent="0.25">
      <c r="B351" s="123" t="str">
        <f ca="1">IFERROR(__xludf.DUMMYFUNCTION("""COMPUTED_VALUE"""),"лист")</f>
        <v>лист</v>
      </c>
      <c r="C351" s="133" t="str">
        <f ca="1">IFERROR(__xludf.DUMMYFUNCTION("""COMPUTED_VALUE"""),"09Х16Н4Б (ЭП56)")</f>
        <v>09Х16Н4Б (ЭП56)</v>
      </c>
      <c r="D351" s="124">
        <f ca="1">IFERROR(__xludf.DUMMYFUNCTION("""COMPUTED_VALUE"""),45)</f>
        <v>45</v>
      </c>
      <c r="E351" s="124"/>
      <c r="F351" s="112" t="str">
        <f ca="1">IFERROR(__xludf.DUMMYFUNCTION("""COMPUTED_VALUE"""),"ГОСТ 5632/5949 ков.ТО, узк,")</f>
        <v>ГОСТ 5632/5949 ков.ТО, узк,</v>
      </c>
      <c r="G351" s="125">
        <f ca="1">IFERROR(__xludf.DUMMYFUNCTION("""COMPUTED_VALUE"""),0.0693253125)</f>
        <v>6.93253125E-2</v>
      </c>
      <c r="H351" s="125"/>
      <c r="I351" s="131">
        <f ca="1">IFERROR(__xludf.DUMMYFUNCTION("""COMPUTED_VALUE"""),1000000)</f>
        <v>1000000</v>
      </c>
    </row>
    <row r="352" spans="2:9" ht="15.75" x14ac:dyDescent="0.25">
      <c r="B352" s="123" t="str">
        <f ca="1">IFERROR(__xludf.DUMMYFUNCTION("""COMPUTED_VALUE"""),"лист")</f>
        <v>лист</v>
      </c>
      <c r="C352" s="133" t="str">
        <f ca="1">IFERROR(__xludf.DUMMYFUNCTION("""COMPUTED_VALUE"""),"09Х16Н4Б (ЭП56)")</f>
        <v>09Х16Н4Б (ЭП56)</v>
      </c>
      <c r="D352" s="124">
        <f ca="1">IFERROR(__xludf.DUMMYFUNCTION("""COMPUTED_VALUE"""),50)</f>
        <v>50</v>
      </c>
      <c r="E352" s="124"/>
      <c r="F352" s="112" t="str">
        <f ca="1">IFERROR(__xludf.DUMMYFUNCTION("""COMPUTED_VALUE"""),"ГОСТ 5632/5949 ков.ТО, узк,")</f>
        <v>ГОСТ 5632/5949 ков.ТО, узк,</v>
      </c>
      <c r="G352" s="125">
        <f ca="1">IFERROR(__xludf.DUMMYFUNCTION("""COMPUTED_VALUE"""),0.077028125)</f>
        <v>7.7028125000000003E-2</v>
      </c>
      <c r="H352" s="125"/>
      <c r="I352" s="131">
        <f ca="1">IFERROR(__xludf.DUMMYFUNCTION("""COMPUTED_VALUE"""),1000000)</f>
        <v>1000000</v>
      </c>
    </row>
    <row r="353" spans="2:9" ht="15.75" x14ac:dyDescent="0.25">
      <c r="B353" s="123" t="str">
        <f ca="1">IFERROR(__xludf.DUMMYFUNCTION("""COMPUTED_VALUE"""),"лист")</f>
        <v>лист</v>
      </c>
      <c r="C353" s="133" t="str">
        <f ca="1">IFERROR(__xludf.DUMMYFUNCTION("""COMPUTED_VALUE"""),"09Х16Н4Б (ЭП56)")</f>
        <v>09Х16Н4Б (ЭП56)</v>
      </c>
      <c r="D353" s="124">
        <f ca="1">IFERROR(__xludf.DUMMYFUNCTION("""COMPUTED_VALUE"""),60)</f>
        <v>60</v>
      </c>
      <c r="E353" s="124"/>
      <c r="F353" s="112" t="str">
        <f ca="1">IFERROR(__xludf.DUMMYFUNCTION("""COMPUTED_VALUE"""),"ГОСТ 5632/5949 ков.ТО, узк,")</f>
        <v>ГОСТ 5632/5949 ков.ТО, узк,</v>
      </c>
      <c r="G353" s="125">
        <f ca="1">IFERROR(__xludf.DUMMYFUNCTION("""COMPUTED_VALUE"""),0.09243375)</f>
        <v>9.2433749999999995E-2</v>
      </c>
      <c r="H353" s="125"/>
      <c r="I353" s="131">
        <f ca="1">IFERROR(__xludf.DUMMYFUNCTION("""COMPUTED_VALUE"""),1000000)</f>
        <v>1000000</v>
      </c>
    </row>
    <row r="354" spans="2:9" ht="15.75" x14ac:dyDescent="0.25">
      <c r="B354" s="123" t="str">
        <f ca="1">IFERROR(__xludf.DUMMYFUNCTION("""COMPUTED_VALUE"""),"лист")</f>
        <v>лист</v>
      </c>
      <c r="C354" s="133" t="str">
        <f ca="1">IFERROR(__xludf.DUMMYFUNCTION("""COMPUTED_VALUE"""),"09Х16Н4Б (ЭП56)")</f>
        <v>09Х16Н4Б (ЭП56)</v>
      </c>
      <c r="D354" s="124">
        <f ca="1">IFERROR(__xludf.DUMMYFUNCTION("""COMPUTED_VALUE"""),75)</f>
        <v>75</v>
      </c>
      <c r="E354" s="124"/>
      <c r="F354" s="112" t="str">
        <f ca="1">IFERROR(__xludf.DUMMYFUNCTION("""COMPUTED_VALUE"""),"ГОСТ 5632/5949 ков.ТО, узк,")</f>
        <v>ГОСТ 5632/5949 ков.ТО, узк,</v>
      </c>
      <c r="G354" s="125">
        <f ca="1">IFERROR(__xludf.DUMMYFUNCTION("""COMPUTED_VALUE"""),0.1155421875)</f>
        <v>0.1155421875</v>
      </c>
      <c r="H354" s="125"/>
      <c r="I354" s="131">
        <f ca="1">IFERROR(__xludf.DUMMYFUNCTION("""COMPUTED_VALUE"""),1000000)</f>
        <v>1000000</v>
      </c>
    </row>
    <row r="355" spans="2:9" ht="15.75" x14ac:dyDescent="0.25">
      <c r="B355" s="123" t="str">
        <f ca="1">IFERROR(__xludf.DUMMYFUNCTION("""COMPUTED_VALUE"""),"лист")</f>
        <v>лист</v>
      </c>
      <c r="C355" s="133" t="str">
        <f ca="1">IFERROR(__xludf.DUMMYFUNCTION("""COMPUTED_VALUE"""),"09Х16Н4Б (ЭП56)")</f>
        <v>09Х16Н4Б (ЭП56)</v>
      </c>
      <c r="D355" s="124">
        <f ca="1">IFERROR(__xludf.DUMMYFUNCTION("""COMPUTED_VALUE"""),90)</f>
        <v>90</v>
      </c>
      <c r="E355" s="124"/>
      <c r="F355" s="112" t="str">
        <f ca="1">IFERROR(__xludf.DUMMYFUNCTION("""COMPUTED_VALUE"""),"ГОСТ 5632/5949 ков.ТО, узк,")</f>
        <v>ГОСТ 5632/5949 ков.ТО, узк,</v>
      </c>
      <c r="G355" s="125">
        <f ca="1">IFERROR(__xludf.DUMMYFUNCTION("""COMPUTED_VALUE"""),0.138650625)</f>
        <v>0.138650625</v>
      </c>
      <c r="H355" s="125"/>
      <c r="I355" s="131">
        <f ca="1">IFERROR(__xludf.DUMMYFUNCTION("""COMPUTED_VALUE"""),1000000)</f>
        <v>1000000</v>
      </c>
    </row>
    <row r="356" spans="2:9" ht="15.75" x14ac:dyDescent="0.25">
      <c r="B356" s="123" t="str">
        <f ca="1">IFERROR(__xludf.DUMMYFUNCTION("""COMPUTED_VALUE"""),"лист")</f>
        <v>лист</v>
      </c>
      <c r="C356" s="133" t="str">
        <f ca="1">IFERROR(__xludf.DUMMYFUNCTION("""COMPUTED_VALUE"""),"09Х16Н4Б (ЭП56)")</f>
        <v>09Х16Н4Б (ЭП56)</v>
      </c>
      <c r="D356" s="124">
        <f ca="1">IFERROR(__xludf.DUMMYFUNCTION("""COMPUTED_VALUE"""),100)</f>
        <v>100</v>
      </c>
      <c r="E356" s="124"/>
      <c r="F356" s="112" t="str">
        <f ca="1">IFERROR(__xludf.DUMMYFUNCTION("""COMPUTED_VALUE"""),"ГОСТ 5632/5949 ков.ТО, узк,")</f>
        <v>ГОСТ 5632/5949 ков.ТО, узк,</v>
      </c>
      <c r="G356" s="125">
        <f ca="1">IFERROR(__xludf.DUMMYFUNCTION("""COMPUTED_VALUE"""),0.15405625)</f>
        <v>0.15405625000000001</v>
      </c>
      <c r="H356" s="125"/>
      <c r="I356" s="131">
        <f ca="1">IFERROR(__xludf.DUMMYFUNCTION("""COMPUTED_VALUE"""),1000000)</f>
        <v>1000000</v>
      </c>
    </row>
    <row r="357" spans="2:9" ht="15.75" x14ac:dyDescent="0.25">
      <c r="B357" s="123" t="str">
        <f ca="1">IFERROR(__xludf.DUMMYFUNCTION("""COMPUTED_VALUE"""),"лист")</f>
        <v>лист</v>
      </c>
      <c r="C357" s="133" t="str">
        <f ca="1">IFERROR(__xludf.DUMMYFUNCTION("""COMPUTED_VALUE"""),"09Х16Н4Б (ЭП56)")</f>
        <v>09Х16Н4Б (ЭП56)</v>
      </c>
      <c r="D357" s="124">
        <f ca="1">IFERROR(__xludf.DUMMYFUNCTION("""COMPUTED_VALUE"""),120)</f>
        <v>120</v>
      </c>
      <c r="E357" s="124"/>
      <c r="F357" s="112" t="str">
        <f ca="1">IFERROR(__xludf.DUMMYFUNCTION("""COMPUTED_VALUE"""),"ГОСТ 5632/5949 ков.ТО, узк,")</f>
        <v>ГОСТ 5632/5949 ков.ТО, узк,</v>
      </c>
      <c r="G357" s="125">
        <f ca="1">IFERROR(__xludf.DUMMYFUNCTION("""COMPUTED_VALUE"""),0.1848675)</f>
        <v>0.18486749999999999</v>
      </c>
      <c r="H357" s="125"/>
      <c r="I357" s="131">
        <f ca="1">IFERROR(__xludf.DUMMYFUNCTION("""COMPUTED_VALUE"""),1000000)</f>
        <v>1000000</v>
      </c>
    </row>
    <row r="358" spans="2:9" ht="15.75" x14ac:dyDescent="0.25">
      <c r="B358" s="123" t="str">
        <f ca="1">IFERROR(__xludf.DUMMYFUNCTION("""COMPUTED_VALUE"""),"лист")</f>
        <v>лист</v>
      </c>
      <c r="C358" s="133" t="str">
        <f ca="1">IFERROR(__xludf.DUMMYFUNCTION("""COMPUTED_VALUE"""),"09Х16Н4Б (ЭП56)")</f>
        <v>09Х16Н4Б (ЭП56)</v>
      </c>
      <c r="D358" s="124">
        <f ca="1">IFERROR(__xludf.DUMMYFUNCTION("""COMPUTED_VALUE"""),150)</f>
        <v>150</v>
      </c>
      <c r="E358" s="124"/>
      <c r="F358" s="112" t="str">
        <f ca="1">IFERROR(__xludf.DUMMYFUNCTION("""COMPUTED_VALUE"""),"ГОСТ 5632/5949 ков.ТО, узк,")</f>
        <v>ГОСТ 5632/5949 ков.ТО, узк,</v>
      </c>
      <c r="G358" s="125">
        <f ca="1">IFERROR(__xludf.DUMMYFUNCTION("""COMPUTED_VALUE"""),0.231084375)</f>
        <v>0.23108437500000001</v>
      </c>
      <c r="H358" s="125"/>
      <c r="I358" s="131">
        <f ca="1">IFERROR(__xludf.DUMMYFUNCTION("""COMPUTED_VALUE"""),1000000)</f>
        <v>1000000</v>
      </c>
    </row>
    <row r="359" spans="2:9" ht="15.75" x14ac:dyDescent="0.25">
      <c r="B359" s="123" t="str">
        <f ca="1">IFERROR(__xludf.DUMMYFUNCTION("""COMPUTED_VALUE"""),"круг")</f>
        <v>круг</v>
      </c>
      <c r="C359" s="133" t="str">
        <f ca="1">IFERROR(__xludf.DUMMYFUNCTION("""COMPUTED_VALUE"""),"10Х17Н13М2Т")</f>
        <v>10Х17Н13М2Т</v>
      </c>
      <c r="D359" s="124">
        <f ca="1">IFERROR(__xludf.DUMMYFUNCTION("""COMPUTED_VALUE"""),20)</f>
        <v>20</v>
      </c>
      <c r="E359" s="124"/>
      <c r="F359" s="112" t="str">
        <f ca="1">IFERROR(__xludf.DUMMYFUNCTION("""COMPUTED_VALUE"""),"гост 5949/2590 без обточки")</f>
        <v>гост 5949/2590 без обточки</v>
      </c>
      <c r="G359" s="125">
        <f ca="1">IFERROR(__xludf.DUMMYFUNCTION("""COMPUTED_VALUE"""),0.361999999999999)</f>
        <v>0.36199999999999899</v>
      </c>
      <c r="H359" s="125"/>
      <c r="I359" s="131">
        <f ca="1">IFERROR(__xludf.DUMMYFUNCTION("""COMPUTED_VALUE"""),1000000)</f>
        <v>1000000</v>
      </c>
    </row>
    <row r="360" spans="2:9" ht="15.75" x14ac:dyDescent="0.25">
      <c r="B360" s="123" t="str">
        <f ca="1">IFERROR(__xludf.DUMMYFUNCTION("""COMPUTED_VALUE"""),"круг")</f>
        <v>круг</v>
      </c>
      <c r="C360" s="133" t="str">
        <f ca="1">IFERROR(__xludf.DUMMYFUNCTION("""COMPUTED_VALUE"""),"10Х17Н13М2Т")</f>
        <v>10Х17Н13М2Т</v>
      </c>
      <c r="D360" s="124">
        <f ca="1">IFERROR(__xludf.DUMMYFUNCTION("""COMPUTED_VALUE"""),20)</f>
        <v>20</v>
      </c>
      <c r="E360" s="124"/>
      <c r="F360" s="112" t="str">
        <f ca="1">IFERROR(__xludf.DUMMYFUNCTION("""COMPUTED_VALUE"""),"гост 5949/2590 узк")</f>
        <v>гост 5949/2590 узк</v>
      </c>
      <c r="G360" s="125">
        <f ca="1">IFERROR(__xludf.DUMMYFUNCTION("""COMPUTED_VALUE"""),0.258)</f>
        <v>0.25800000000000001</v>
      </c>
      <c r="H360" s="125"/>
      <c r="I360" s="131">
        <f ca="1">IFERROR(__xludf.DUMMYFUNCTION("""COMPUTED_VALUE"""),1000000)</f>
        <v>1000000</v>
      </c>
    </row>
    <row r="361" spans="2:9" ht="15.75" x14ac:dyDescent="0.25">
      <c r="B361" s="123" t="str">
        <f ca="1">IFERROR(__xludf.DUMMYFUNCTION("""COMPUTED_VALUE"""),"круг")</f>
        <v>круг</v>
      </c>
      <c r="C361" s="133" t="str">
        <f ca="1">IFERROR(__xludf.DUMMYFUNCTION("""COMPUTED_VALUE"""),"10Х17Н13М2Т")</f>
        <v>10Х17Н13М2Т</v>
      </c>
      <c r="D361" s="124">
        <f ca="1">IFERROR(__xludf.DUMMYFUNCTION("""COMPUTED_VALUE"""),20)</f>
        <v>20</v>
      </c>
      <c r="E361" s="124"/>
      <c r="F361" s="112" t="str">
        <f ca="1">IFERROR(__xludf.DUMMYFUNCTION("""COMPUTED_VALUE"""),"гост 5949/2590 узк")</f>
        <v>гост 5949/2590 узк</v>
      </c>
      <c r="G361" s="125">
        <f ca="1">IFERROR(__xludf.DUMMYFUNCTION("""COMPUTED_VALUE"""),0.658)</f>
        <v>0.65800000000000003</v>
      </c>
      <c r="H361" s="125"/>
      <c r="I361" s="131">
        <f ca="1">IFERROR(__xludf.DUMMYFUNCTION("""COMPUTED_VALUE"""),1000000)</f>
        <v>1000000</v>
      </c>
    </row>
    <row r="362" spans="2:9" ht="15.75" x14ac:dyDescent="0.25">
      <c r="B362" s="123" t="str">
        <f ca="1">IFERROR(__xludf.DUMMYFUNCTION("""COMPUTED_VALUE"""),"круг")</f>
        <v>круг</v>
      </c>
      <c r="C362" s="133" t="str">
        <f ca="1">IFERROR(__xludf.DUMMYFUNCTION("""COMPUTED_VALUE"""),"10Х17Н13М2Т")</f>
        <v>10Х17Н13М2Т</v>
      </c>
      <c r="D362" s="124">
        <f ca="1">IFERROR(__xludf.DUMMYFUNCTION("""COMPUTED_VALUE"""),25)</f>
        <v>25</v>
      </c>
      <c r="E362" s="124"/>
      <c r="F362" s="112"/>
      <c r="G362" s="125">
        <f ca="1">IFERROR(__xludf.DUMMYFUNCTION("""COMPUTED_VALUE"""),0.336999999999999)</f>
        <v>0.33699999999999902</v>
      </c>
      <c r="H362" s="125"/>
      <c r="I362" s="131">
        <f ca="1">IFERROR(__xludf.DUMMYFUNCTION("""COMPUTED_VALUE"""),1000000)</f>
        <v>1000000</v>
      </c>
    </row>
    <row r="363" spans="2:9" ht="15.75" x14ac:dyDescent="0.25">
      <c r="B363" s="123" t="str">
        <f ca="1">IFERROR(__xludf.DUMMYFUNCTION("""COMPUTED_VALUE"""),"круг")</f>
        <v>круг</v>
      </c>
      <c r="C363" s="133" t="str">
        <f ca="1">IFERROR(__xludf.DUMMYFUNCTION("""COMPUTED_VALUE"""),"10Х17Н13М2Т")</f>
        <v>10Х17Н13М2Т</v>
      </c>
      <c r="D363" s="124">
        <f ca="1">IFERROR(__xludf.DUMMYFUNCTION("""COMPUTED_VALUE"""),25)</f>
        <v>25</v>
      </c>
      <c r="E363" s="124"/>
      <c r="F363" s="112" t="str">
        <f ca="1">IFERROR(__xludf.DUMMYFUNCTION("""COMPUTED_VALUE"""),"гост 5949/2590 узк")</f>
        <v>гост 5949/2590 узк</v>
      </c>
      <c r="G363" s="125">
        <f ca="1">IFERROR(__xludf.DUMMYFUNCTION("""COMPUTED_VALUE"""),1.016)</f>
        <v>1.016</v>
      </c>
      <c r="H363" s="125"/>
      <c r="I363" s="131">
        <f ca="1">IFERROR(__xludf.DUMMYFUNCTION("""COMPUTED_VALUE"""),1000000)</f>
        <v>1000000</v>
      </c>
    </row>
    <row r="364" spans="2:9" ht="15.75" x14ac:dyDescent="0.25">
      <c r="B364" s="123" t="str">
        <f ca="1">IFERROR(__xludf.DUMMYFUNCTION("""COMPUTED_VALUE"""),"круг")</f>
        <v>круг</v>
      </c>
      <c r="C364" s="133" t="str">
        <f ca="1">IFERROR(__xludf.DUMMYFUNCTION("""COMPUTED_VALUE"""),"10Х17Н13М2Т")</f>
        <v>10Х17Н13М2Т</v>
      </c>
      <c r="D364" s="124">
        <f ca="1">IFERROR(__xludf.DUMMYFUNCTION("""COMPUTED_VALUE"""),30)</f>
        <v>30</v>
      </c>
      <c r="E364" s="124"/>
      <c r="F364" s="112" t="str">
        <f ca="1">IFERROR(__xludf.DUMMYFUNCTION("""COMPUTED_VALUE"""),"гост 5949/2590 2гп, НД, УЗК МКК")</f>
        <v>гост 5949/2590 2гп, НД, УЗК МКК</v>
      </c>
      <c r="G364" s="125">
        <f ca="1">IFERROR(__xludf.DUMMYFUNCTION("""COMPUTED_VALUE"""),0.904999999999999)</f>
        <v>0.90499999999999903</v>
      </c>
      <c r="H364" s="125"/>
      <c r="I364" s="131">
        <f ca="1">IFERROR(__xludf.DUMMYFUNCTION("""COMPUTED_VALUE"""),880000)</f>
        <v>880000</v>
      </c>
    </row>
    <row r="365" spans="2:9" ht="15.75" x14ac:dyDescent="0.25">
      <c r="B365" s="123" t="str">
        <f ca="1">IFERROR(__xludf.DUMMYFUNCTION("""COMPUTED_VALUE"""),"круг")</f>
        <v>круг</v>
      </c>
      <c r="C365" s="133" t="str">
        <f ca="1">IFERROR(__xludf.DUMMYFUNCTION("""COMPUTED_VALUE"""),"10Х17Н13М2Т")</f>
        <v>10Х17Н13М2Т</v>
      </c>
      <c r="D365" s="124">
        <f ca="1">IFERROR(__xludf.DUMMYFUNCTION("""COMPUTED_VALUE"""),36)</f>
        <v>36</v>
      </c>
      <c r="E365" s="124"/>
      <c r="F365" s="112" t="str">
        <f ca="1">IFERROR(__xludf.DUMMYFUNCTION("""COMPUTED_VALUE"""),"гост 5949/2590 узк")</f>
        <v>гост 5949/2590 узк</v>
      </c>
      <c r="G365" s="125">
        <f ca="1">IFERROR(__xludf.DUMMYFUNCTION("""COMPUTED_VALUE"""),0.565)</f>
        <v>0.56499999999999995</v>
      </c>
      <c r="H365" s="125"/>
      <c r="I365" s="131">
        <f ca="1">IFERROR(__xludf.DUMMYFUNCTION("""COMPUTED_VALUE"""),800000)</f>
        <v>800000</v>
      </c>
    </row>
    <row r="366" spans="2:9" ht="15.75" x14ac:dyDescent="0.25">
      <c r="B366" s="123" t="str">
        <f ca="1">IFERROR(__xludf.DUMMYFUNCTION("""COMPUTED_VALUE"""),"круг")</f>
        <v>круг</v>
      </c>
      <c r="C366" s="133" t="str">
        <f ca="1">IFERROR(__xludf.DUMMYFUNCTION("""COMPUTED_VALUE"""),"10Х17Н13М2Т")</f>
        <v>10Х17Н13М2Т</v>
      </c>
      <c r="D366" s="124">
        <f ca="1">IFERROR(__xludf.DUMMYFUNCTION("""COMPUTED_VALUE"""),36)</f>
        <v>36</v>
      </c>
      <c r="E366" s="124"/>
      <c r="F366" s="112" t="str">
        <f ca="1">IFERROR(__xludf.DUMMYFUNCTION("""COMPUTED_VALUE""")," ")</f>
        <v xml:space="preserve"> </v>
      </c>
      <c r="G366" s="125">
        <f ca="1">IFERROR(__xludf.DUMMYFUNCTION("""COMPUTED_VALUE"""),0.618)</f>
        <v>0.61799999999999999</v>
      </c>
      <c r="H366" s="125"/>
      <c r="I366" s="131">
        <f ca="1">IFERROR(__xludf.DUMMYFUNCTION("""COMPUTED_VALUE"""),800000)</f>
        <v>800000</v>
      </c>
    </row>
    <row r="367" spans="2:9" ht="15.75" x14ac:dyDescent="0.25">
      <c r="B367" s="123" t="str">
        <f ca="1">IFERROR(__xludf.DUMMYFUNCTION("""COMPUTED_VALUE"""),"круг")</f>
        <v>круг</v>
      </c>
      <c r="C367" s="133" t="str">
        <f ca="1">IFERROR(__xludf.DUMMYFUNCTION("""COMPUTED_VALUE"""),"10Х17Н13М2Т")</f>
        <v>10Х17Н13М2Т</v>
      </c>
      <c r="D367" s="124">
        <f ca="1">IFERROR(__xludf.DUMMYFUNCTION("""COMPUTED_VALUE"""),40)</f>
        <v>40</v>
      </c>
      <c r="E367" s="124"/>
      <c r="F367" s="112" t="str">
        <f ca="1">IFERROR(__xludf.DUMMYFUNCTION("""COMPUTED_VALUE"""),"гост 5949/2590 узк")</f>
        <v>гост 5949/2590 узк</v>
      </c>
      <c r="G367" s="125">
        <f ca="1">IFERROR(__xludf.DUMMYFUNCTION("""COMPUTED_VALUE"""),0.382)</f>
        <v>0.38200000000000001</v>
      </c>
      <c r="H367" s="125"/>
      <c r="I367" s="131">
        <f ca="1">IFERROR(__xludf.DUMMYFUNCTION("""COMPUTED_VALUE"""),800000)</f>
        <v>800000</v>
      </c>
    </row>
    <row r="368" spans="2:9" ht="15.75" x14ac:dyDescent="0.25">
      <c r="B368" s="123" t="str">
        <f ca="1">IFERROR(__xludf.DUMMYFUNCTION("""COMPUTED_VALUE"""),"круг")</f>
        <v>круг</v>
      </c>
      <c r="C368" s="133" t="str">
        <f ca="1">IFERROR(__xludf.DUMMYFUNCTION("""COMPUTED_VALUE"""),"10Х17Н13М2Т")</f>
        <v>10Х17Н13М2Т</v>
      </c>
      <c r="D368" s="124">
        <f ca="1">IFERROR(__xludf.DUMMYFUNCTION("""COMPUTED_VALUE"""),40)</f>
        <v>40</v>
      </c>
      <c r="E368" s="124"/>
      <c r="F368" s="112" t="str">
        <f ca="1">IFERROR(__xludf.DUMMYFUNCTION("""COMPUTED_VALUE"""),"гост 5949/2590 узк")</f>
        <v>гост 5949/2590 узк</v>
      </c>
      <c r="G368" s="125">
        <f ca="1">IFERROR(__xludf.DUMMYFUNCTION("""COMPUTED_VALUE"""),0.426)</f>
        <v>0.42599999999999999</v>
      </c>
      <c r="H368" s="125"/>
      <c r="I368" s="131">
        <f ca="1">IFERROR(__xludf.DUMMYFUNCTION("""COMPUTED_VALUE"""),800000)</f>
        <v>800000</v>
      </c>
    </row>
    <row r="369" spans="2:9" ht="15.75" x14ac:dyDescent="0.25">
      <c r="B369" s="123" t="str">
        <f ca="1">IFERROR(__xludf.DUMMYFUNCTION("""COMPUTED_VALUE"""),"круг")</f>
        <v>круг</v>
      </c>
      <c r="C369" s="133" t="str">
        <f ca="1">IFERROR(__xludf.DUMMYFUNCTION("""COMPUTED_VALUE"""),"10Х17Н13М2Т")</f>
        <v>10Х17Н13М2Т</v>
      </c>
      <c r="D369" s="124">
        <f ca="1">IFERROR(__xludf.DUMMYFUNCTION("""COMPUTED_VALUE"""),40)</f>
        <v>40</v>
      </c>
      <c r="E369" s="124"/>
      <c r="F369" s="112" t="str">
        <f ca="1">IFERROR(__xludf.DUMMYFUNCTION("""COMPUTED_VALUE"""),"гост 5949/2590 узк")</f>
        <v>гост 5949/2590 узк</v>
      </c>
      <c r="G369" s="125">
        <f ca="1">IFERROR(__xludf.DUMMYFUNCTION("""COMPUTED_VALUE"""),2.188)</f>
        <v>2.1880000000000002</v>
      </c>
      <c r="H369" s="125"/>
      <c r="I369" s="131">
        <f ca="1">IFERROR(__xludf.DUMMYFUNCTION("""COMPUTED_VALUE"""),800000)</f>
        <v>800000</v>
      </c>
    </row>
    <row r="370" spans="2:9" ht="15.75" x14ac:dyDescent="0.25">
      <c r="B370" s="123" t="str">
        <f ca="1">IFERROR(__xludf.DUMMYFUNCTION("""COMPUTED_VALUE"""),"круг")</f>
        <v>круг</v>
      </c>
      <c r="C370" s="133" t="str">
        <f ca="1">IFERROR(__xludf.DUMMYFUNCTION("""COMPUTED_VALUE"""),"10Х17Н13М2Т")</f>
        <v>10Х17Н13М2Т</v>
      </c>
      <c r="D370" s="124">
        <f ca="1">IFERROR(__xludf.DUMMYFUNCTION("""COMPUTED_VALUE"""),45)</f>
        <v>45</v>
      </c>
      <c r="E370" s="124"/>
      <c r="F370" s="112" t="str">
        <f ca="1">IFERROR(__xludf.DUMMYFUNCTION("""COMPUTED_VALUE"""),"гост 5949/2590 2гп, НД, УЗК МКК")</f>
        <v>гост 5949/2590 2гп, НД, УЗК МКК</v>
      </c>
      <c r="G370" s="125">
        <f ca="1">IFERROR(__xludf.DUMMYFUNCTION("""COMPUTED_VALUE"""),1.576)</f>
        <v>1.5760000000000001</v>
      </c>
      <c r="H370" s="125"/>
      <c r="I370" s="131">
        <f ca="1">IFERROR(__xludf.DUMMYFUNCTION("""COMPUTED_VALUE"""),880000)</f>
        <v>880000</v>
      </c>
    </row>
    <row r="371" spans="2:9" ht="15.75" x14ac:dyDescent="0.25">
      <c r="B371" s="123" t="str">
        <f ca="1">IFERROR(__xludf.DUMMYFUNCTION("""COMPUTED_VALUE"""),"круг")</f>
        <v>круг</v>
      </c>
      <c r="C371" s="133" t="str">
        <f ca="1">IFERROR(__xludf.DUMMYFUNCTION("""COMPUTED_VALUE"""),"10Х17Н13М2Т")</f>
        <v>10Х17Н13М2Т</v>
      </c>
      <c r="D371" s="124">
        <f ca="1">IFERROR(__xludf.DUMMYFUNCTION("""COMPUTED_VALUE"""),45)</f>
        <v>45</v>
      </c>
      <c r="E371" s="124"/>
      <c r="F371" s="112" t="str">
        <f ca="1">IFERROR(__xludf.DUMMYFUNCTION("""COMPUTED_VALUE"""),"гост 5949/2590 2гп, НД, УЗК МКК")</f>
        <v>гост 5949/2590 2гп, НД, УЗК МКК</v>
      </c>
      <c r="G371" s="125">
        <f ca="1">IFERROR(__xludf.DUMMYFUNCTION("""COMPUTED_VALUE"""),0.268)</f>
        <v>0.26800000000000002</v>
      </c>
      <c r="H371" s="125"/>
      <c r="I371" s="131">
        <f ca="1">IFERROR(__xludf.DUMMYFUNCTION("""COMPUTED_VALUE"""),880000)</f>
        <v>880000</v>
      </c>
    </row>
    <row r="372" spans="2:9" ht="15.75" x14ac:dyDescent="0.25">
      <c r="B372" s="123" t="str">
        <f ca="1">IFERROR(__xludf.DUMMYFUNCTION("""COMPUTED_VALUE"""),"круг")</f>
        <v>круг</v>
      </c>
      <c r="C372" s="133" t="str">
        <f ca="1">IFERROR(__xludf.DUMMYFUNCTION("""COMPUTED_VALUE"""),"10Х17Н13М2Т")</f>
        <v>10Х17Н13М2Т</v>
      </c>
      <c r="D372" s="124">
        <f ca="1">IFERROR(__xludf.DUMMYFUNCTION("""COMPUTED_VALUE"""),50)</f>
        <v>50</v>
      </c>
      <c r="E372" s="124"/>
      <c r="F372" s="112" t="str">
        <f ca="1">IFERROR(__xludf.DUMMYFUNCTION("""COMPUTED_VALUE"""),"гост 5949/2590 2гп")</f>
        <v>гост 5949/2590 2гп</v>
      </c>
      <c r="G372" s="125">
        <f ca="1">IFERROR(__xludf.DUMMYFUNCTION("""COMPUTED_VALUE"""),0.953)</f>
        <v>0.95299999999999996</v>
      </c>
      <c r="H372" s="125"/>
      <c r="I372" s="131">
        <f ca="1">IFERROR(__xludf.DUMMYFUNCTION("""COMPUTED_VALUE"""),880000)</f>
        <v>880000</v>
      </c>
    </row>
    <row r="373" spans="2:9" ht="15.75" x14ac:dyDescent="0.25">
      <c r="B373" s="123" t="str">
        <f ca="1">IFERROR(__xludf.DUMMYFUNCTION("""COMPUTED_VALUE"""),"круг")</f>
        <v>круг</v>
      </c>
      <c r="C373" s="133" t="str">
        <f ca="1">IFERROR(__xludf.DUMMYFUNCTION("""COMPUTED_VALUE"""),"10Х17Н13М2Т")</f>
        <v>10Х17Н13М2Т</v>
      </c>
      <c r="D373" s="124">
        <f ca="1">IFERROR(__xludf.DUMMYFUNCTION("""COMPUTED_VALUE"""),56)</f>
        <v>56</v>
      </c>
      <c r="E373" s="124"/>
      <c r="F373" s="112" t="str">
        <f ca="1">IFERROR(__xludf.DUMMYFUNCTION("""COMPUTED_VALUE"""),"3гп, узк МКК")</f>
        <v>3гп, узк МКК</v>
      </c>
      <c r="G373" s="125">
        <f ca="1">IFERROR(__xludf.DUMMYFUNCTION("""COMPUTED_VALUE"""),0.499999999999999)</f>
        <v>0.499999999999999</v>
      </c>
      <c r="H373" s="125"/>
      <c r="I373" s="131">
        <f ca="1">IFERROR(__xludf.DUMMYFUNCTION("""COMPUTED_VALUE"""),790000)</f>
        <v>790000</v>
      </c>
    </row>
    <row r="374" spans="2:9" ht="15.75" x14ac:dyDescent="0.25">
      <c r="B374" s="123" t="str">
        <f ca="1">IFERROR(__xludf.DUMMYFUNCTION("""COMPUTED_VALUE"""),"круг")</f>
        <v>круг</v>
      </c>
      <c r="C374" s="133" t="str">
        <f ca="1">IFERROR(__xludf.DUMMYFUNCTION("""COMPUTED_VALUE"""),"10Х17Н13М2Т")</f>
        <v>10Х17Н13М2Т</v>
      </c>
      <c r="D374" s="124">
        <f ca="1">IFERROR(__xludf.DUMMYFUNCTION("""COMPUTED_VALUE"""),60)</f>
        <v>60</v>
      </c>
      <c r="E374" s="124"/>
      <c r="F374" s="112" t="str">
        <f ca="1">IFERROR(__xludf.DUMMYFUNCTION("""COMPUTED_VALUE"""),"гост 5949/2590 без обточки")</f>
        <v>гост 5949/2590 без обточки</v>
      </c>
      <c r="G374" s="125">
        <f ca="1">IFERROR(__xludf.DUMMYFUNCTION("""COMPUTED_VALUE"""),1.095)</f>
        <v>1.095</v>
      </c>
      <c r="H374" s="125"/>
      <c r="I374" s="131">
        <f ca="1">IFERROR(__xludf.DUMMYFUNCTION("""COMPUTED_VALUE"""),925000)</f>
        <v>925000</v>
      </c>
    </row>
    <row r="375" spans="2:9" ht="15.75" x14ac:dyDescent="0.25">
      <c r="B375" s="123" t="str">
        <f ca="1">IFERROR(__xludf.DUMMYFUNCTION("""COMPUTED_VALUE"""),"круг")</f>
        <v>круг</v>
      </c>
      <c r="C375" s="133" t="str">
        <f ca="1">IFERROR(__xludf.DUMMYFUNCTION("""COMPUTED_VALUE"""),"10Х17Н13М2Т")</f>
        <v>10Х17Н13М2Т</v>
      </c>
      <c r="D375" s="124">
        <f ca="1">IFERROR(__xludf.DUMMYFUNCTION("""COMPUTED_VALUE"""),65)</f>
        <v>65</v>
      </c>
      <c r="E375" s="124"/>
      <c r="F375" s="112" t="str">
        <f ca="1">IFERROR(__xludf.DUMMYFUNCTION("""COMPUTED_VALUE"""),"гост 5949/2590, 2ГП, обт.")</f>
        <v>гост 5949/2590, 2ГП, обт.</v>
      </c>
      <c r="G375" s="125">
        <f ca="1">IFERROR(__xludf.DUMMYFUNCTION("""COMPUTED_VALUE"""),0.371999999999999)</f>
        <v>0.371999999999999</v>
      </c>
      <c r="H375" s="125"/>
      <c r="I375" s="131">
        <f ca="1">IFERROR(__xludf.DUMMYFUNCTION("""COMPUTED_VALUE"""),880000)</f>
        <v>880000</v>
      </c>
    </row>
    <row r="376" spans="2:9" ht="15.75" x14ac:dyDescent="0.25">
      <c r="B376" s="123" t="str">
        <f ca="1">IFERROR(__xludf.DUMMYFUNCTION("""COMPUTED_VALUE"""),"круг")</f>
        <v>круг</v>
      </c>
      <c r="C376" s="133" t="str">
        <f ca="1">IFERROR(__xludf.DUMMYFUNCTION("""COMPUTED_VALUE"""),"10Х17Н13М2Т")</f>
        <v>10Х17Н13М2Т</v>
      </c>
      <c r="D376" s="124">
        <f ca="1">IFERROR(__xludf.DUMMYFUNCTION("""COMPUTED_VALUE"""),65)</f>
        <v>65</v>
      </c>
      <c r="E376" s="124"/>
      <c r="F376" s="112" t="str">
        <f ca="1">IFERROR(__xludf.DUMMYFUNCTION("""COMPUTED_VALUE"""),"гост 5949/2590, РТ-Тех")</f>
        <v>гост 5949/2590, РТ-Тех</v>
      </c>
      <c r="G376" s="125">
        <f ca="1">IFERROR(__xludf.DUMMYFUNCTION("""COMPUTED_VALUE"""),1.76199999999999)</f>
        <v>1.76199999999999</v>
      </c>
      <c r="H376" s="125"/>
      <c r="I376" s="131">
        <f ca="1">IFERROR(__xludf.DUMMYFUNCTION("""COMPUTED_VALUE"""),925000)</f>
        <v>925000</v>
      </c>
    </row>
    <row r="377" spans="2:9" ht="15.75" x14ac:dyDescent="0.25">
      <c r="B377" s="123" t="str">
        <f ca="1">IFERROR(__xludf.DUMMYFUNCTION("""COMPUTED_VALUE"""),"круг")</f>
        <v>круг</v>
      </c>
      <c r="C377" s="133" t="str">
        <f ca="1">IFERROR(__xludf.DUMMYFUNCTION("""COMPUTED_VALUE"""),"10Х17Н13М2Т")</f>
        <v>10Х17Н13М2Т</v>
      </c>
      <c r="D377" s="124">
        <f ca="1">IFERROR(__xludf.DUMMYFUNCTION("""COMPUTED_VALUE"""),70)</f>
        <v>70</v>
      </c>
      <c r="E377" s="124"/>
      <c r="F377" s="112" t="str">
        <f ca="1">IFERROR(__xludf.DUMMYFUNCTION("""COMPUTED_VALUE"""),"2ГП , УЗК, МКК, ОБТ")</f>
        <v>2ГП , УЗК, МКК, ОБТ</v>
      </c>
      <c r="G377" s="125">
        <f ca="1">IFERROR(__xludf.DUMMYFUNCTION("""COMPUTED_VALUE"""),3.074)</f>
        <v>3.0739999999999998</v>
      </c>
      <c r="H377" s="125"/>
      <c r="I377" s="131">
        <f ca="1">IFERROR(__xludf.DUMMYFUNCTION("""COMPUTED_VALUE"""),705000)</f>
        <v>705000</v>
      </c>
    </row>
    <row r="378" spans="2:9" ht="15.75" x14ac:dyDescent="0.25">
      <c r="B378" s="123" t="str">
        <f ca="1">IFERROR(__xludf.DUMMYFUNCTION("""COMPUTED_VALUE"""),"круг")</f>
        <v>круг</v>
      </c>
      <c r="C378" s="133" t="str">
        <f ca="1">IFERROR(__xludf.DUMMYFUNCTION("""COMPUTED_VALUE"""),"10Х17Н13М2Т")</f>
        <v>10Х17Н13М2Т</v>
      </c>
      <c r="D378" s="124">
        <f ca="1">IFERROR(__xludf.DUMMYFUNCTION("""COMPUTED_VALUE"""),80)</f>
        <v>80</v>
      </c>
      <c r="E378" s="124"/>
      <c r="F378" s="112" t="str">
        <f ca="1">IFERROR(__xludf.DUMMYFUNCTION("""COMPUTED_VALUE"""),"гост 5949/2590, 2ГП, обт.")</f>
        <v>гост 5949/2590, 2ГП, обт.</v>
      </c>
      <c r="G378" s="125">
        <f ca="1">IFERROR(__xludf.DUMMYFUNCTION("""COMPUTED_VALUE"""),0.551)</f>
        <v>0.55100000000000005</v>
      </c>
      <c r="H378" s="125"/>
      <c r="I378" s="131">
        <f ca="1">IFERROR(__xludf.DUMMYFUNCTION("""COMPUTED_VALUE"""),700000)</f>
        <v>700000</v>
      </c>
    </row>
    <row r="379" spans="2:9" ht="15.75" x14ac:dyDescent="0.25">
      <c r="B379" s="123" t="str">
        <f ca="1">IFERROR(__xludf.DUMMYFUNCTION("""COMPUTED_VALUE"""),"круг")</f>
        <v>круг</v>
      </c>
      <c r="C379" s="133" t="str">
        <f ca="1">IFERROR(__xludf.DUMMYFUNCTION("""COMPUTED_VALUE"""),"10Х17Н13М2Т")</f>
        <v>10Х17Н13М2Т</v>
      </c>
      <c r="D379" s="124">
        <f ca="1">IFERROR(__xludf.DUMMYFUNCTION("""COMPUTED_VALUE"""),80)</f>
        <v>80</v>
      </c>
      <c r="E379" s="124"/>
      <c r="F379" s="112" t="str">
        <f ca="1">IFERROR(__xludf.DUMMYFUNCTION("""COMPUTED_VALUE"""),"гост 5949/2590 узк")</f>
        <v>гост 5949/2590 узк</v>
      </c>
      <c r="G379" s="125">
        <f ca="1">IFERROR(__xludf.DUMMYFUNCTION("""COMPUTED_VALUE"""),0.175999999999999)</f>
        <v>0.17599999999999899</v>
      </c>
      <c r="H379" s="125"/>
      <c r="I379" s="131">
        <f ca="1">IFERROR(__xludf.DUMMYFUNCTION("""COMPUTED_VALUE"""),800000)</f>
        <v>800000</v>
      </c>
    </row>
    <row r="380" spans="2:9" ht="15.75" x14ac:dyDescent="0.25">
      <c r="B380" s="123" t="str">
        <f ca="1">IFERROR(__xludf.DUMMYFUNCTION("""COMPUTED_VALUE"""),"круг")</f>
        <v>круг</v>
      </c>
      <c r="C380" s="133" t="str">
        <f ca="1">IFERROR(__xludf.DUMMYFUNCTION("""COMPUTED_VALUE"""),"10Х17Н13М2Т")</f>
        <v>10Х17Н13М2Т</v>
      </c>
      <c r="D380" s="124">
        <f ca="1">IFERROR(__xludf.DUMMYFUNCTION("""COMPUTED_VALUE"""),80)</f>
        <v>80</v>
      </c>
      <c r="E380" s="124"/>
      <c r="F380" s="112" t="str">
        <f ca="1">IFERROR(__xludf.DUMMYFUNCTION("""COMPUTED_VALUE"""),"гост 5949/2590 узк")</f>
        <v>гост 5949/2590 узк</v>
      </c>
      <c r="G380" s="125">
        <f ca="1">IFERROR(__xludf.DUMMYFUNCTION("""COMPUTED_VALUE"""),1.91)</f>
        <v>1.91</v>
      </c>
      <c r="H380" s="125"/>
      <c r="I380" s="131">
        <f ca="1">IFERROR(__xludf.DUMMYFUNCTION("""COMPUTED_VALUE"""),800000)</f>
        <v>800000</v>
      </c>
    </row>
    <row r="381" spans="2:9" ht="15.75" x14ac:dyDescent="0.25">
      <c r="B381" s="123" t="str">
        <f ca="1">IFERROR(__xludf.DUMMYFUNCTION("""COMPUTED_VALUE"""),"круг")</f>
        <v>круг</v>
      </c>
      <c r="C381" s="133" t="str">
        <f ca="1">IFERROR(__xludf.DUMMYFUNCTION("""COMPUTED_VALUE"""),"10Х17Н13М2Т")</f>
        <v>10Х17Н13М2Т</v>
      </c>
      <c r="D381" s="124">
        <f ca="1">IFERROR(__xludf.DUMMYFUNCTION("""COMPUTED_VALUE"""),90)</f>
        <v>90</v>
      </c>
      <c r="E381" s="124"/>
      <c r="F381" s="112" t="str">
        <f ca="1">IFERROR(__xludf.DUMMYFUNCTION("""COMPUTED_VALUE"""),"2ГП , УЗК, МКК, ОБТ")</f>
        <v>2ГП , УЗК, МКК, ОБТ</v>
      </c>
      <c r="G381" s="125">
        <f ca="1">IFERROR(__xludf.DUMMYFUNCTION("""COMPUTED_VALUE"""),2.81)</f>
        <v>2.81</v>
      </c>
      <c r="H381" s="125"/>
      <c r="I381" s="131">
        <f ca="1">IFERROR(__xludf.DUMMYFUNCTION("""COMPUTED_VALUE"""),705000)</f>
        <v>705000</v>
      </c>
    </row>
    <row r="382" spans="2:9" ht="15.75" x14ac:dyDescent="0.25">
      <c r="B382" s="123" t="str">
        <f ca="1">IFERROR(__xludf.DUMMYFUNCTION("""COMPUTED_VALUE"""),"круг")</f>
        <v>круг</v>
      </c>
      <c r="C382" s="133" t="str">
        <f ca="1">IFERROR(__xludf.DUMMYFUNCTION("""COMPUTED_VALUE"""),"10Х17Н13М2Т")</f>
        <v>10Х17Н13М2Т</v>
      </c>
      <c r="D382" s="124">
        <f ca="1">IFERROR(__xludf.DUMMYFUNCTION("""COMPUTED_VALUE"""),90)</f>
        <v>90</v>
      </c>
      <c r="E382" s="124"/>
      <c r="F382" s="112" t="str">
        <f ca="1">IFERROR(__xludf.DUMMYFUNCTION("""COMPUTED_VALUE"""),"гост 5949/2590, УЗК, рт-тех")</f>
        <v>гост 5949/2590, УЗК, рт-тех</v>
      </c>
      <c r="G382" s="125">
        <f ca="1">IFERROR(__xludf.DUMMYFUNCTION("""COMPUTED_VALUE"""),0.02)</f>
        <v>0.02</v>
      </c>
      <c r="H382" s="125"/>
      <c r="I382" s="131">
        <f ca="1">IFERROR(__xludf.DUMMYFUNCTION("""COMPUTED_VALUE"""),835000)</f>
        <v>835000</v>
      </c>
    </row>
    <row r="383" spans="2:9" ht="15.75" x14ac:dyDescent="0.25">
      <c r="B383" s="123" t="str">
        <f ca="1">IFERROR(__xludf.DUMMYFUNCTION("""COMPUTED_VALUE"""),"круг")</f>
        <v>круг</v>
      </c>
      <c r="C383" s="133" t="str">
        <f ca="1">IFERROR(__xludf.DUMMYFUNCTION("""COMPUTED_VALUE"""),"10Х17Н13М2Т")</f>
        <v>10Х17Н13М2Т</v>
      </c>
      <c r="D383" s="124">
        <f ca="1">IFERROR(__xludf.DUMMYFUNCTION("""COMPUTED_VALUE"""),90)</f>
        <v>90</v>
      </c>
      <c r="E383" s="124"/>
      <c r="F383" s="112" t="str">
        <f ca="1">IFERROR(__xludf.DUMMYFUNCTION("""COMPUTED_VALUE"""),"3гп, узк МКК")</f>
        <v>3гп, узк МКК</v>
      </c>
      <c r="G383" s="125">
        <f ca="1">IFERROR(__xludf.DUMMYFUNCTION("""COMPUTED_VALUE"""),0.701)</f>
        <v>0.70099999999999996</v>
      </c>
      <c r="H383" s="125"/>
      <c r="I383" s="131">
        <f ca="1">IFERROR(__xludf.DUMMYFUNCTION("""COMPUTED_VALUE"""),835000)</f>
        <v>835000</v>
      </c>
    </row>
    <row r="384" spans="2:9" ht="15.75" x14ac:dyDescent="0.25">
      <c r="B384" s="123" t="str">
        <f ca="1">IFERROR(__xludf.DUMMYFUNCTION("""COMPUTED_VALUE"""),"круг")</f>
        <v>круг</v>
      </c>
      <c r="C384" s="133" t="str">
        <f ca="1">IFERROR(__xludf.DUMMYFUNCTION("""COMPUTED_VALUE"""),"10Х17Н13М2Т")</f>
        <v>10Х17Н13М2Т</v>
      </c>
      <c r="D384" s="124">
        <f ca="1">IFERROR(__xludf.DUMMYFUNCTION("""COMPUTED_VALUE"""),100)</f>
        <v>100</v>
      </c>
      <c r="E384" s="124"/>
      <c r="F384" s="112" t="str">
        <f ca="1">IFERROR(__xludf.DUMMYFUNCTION("""COMPUTED_VALUE"""),"2ГП , УЗК, МКК, ОБТ")</f>
        <v>2ГП , УЗК, МКК, ОБТ</v>
      </c>
      <c r="G384" s="125">
        <f ca="1">IFERROR(__xludf.DUMMYFUNCTION("""COMPUTED_VALUE"""),3.2)</f>
        <v>3.2</v>
      </c>
      <c r="H384" s="125"/>
      <c r="I384" s="131">
        <f ca="1">IFERROR(__xludf.DUMMYFUNCTION("""COMPUTED_VALUE"""),705000)</f>
        <v>705000</v>
      </c>
    </row>
    <row r="385" spans="2:9" ht="15.75" x14ac:dyDescent="0.25">
      <c r="B385" s="123" t="str">
        <f ca="1">IFERROR(__xludf.DUMMYFUNCTION("""COMPUTED_VALUE"""),"круг")</f>
        <v>круг</v>
      </c>
      <c r="C385" s="133" t="str">
        <f ca="1">IFERROR(__xludf.DUMMYFUNCTION("""COMPUTED_VALUE"""),"10Х17Н13М2Т")</f>
        <v>10Х17Н13М2Т</v>
      </c>
      <c r="D385" s="124">
        <f ca="1">IFERROR(__xludf.DUMMYFUNCTION("""COMPUTED_VALUE"""),100)</f>
        <v>100</v>
      </c>
      <c r="E385" s="124"/>
      <c r="F385" s="112" t="str">
        <f ca="1">IFERROR(__xludf.DUMMYFUNCTION("""COMPUTED_VALUE"""),"гост 5949/2590 2гп, НД, УЗК МКК")</f>
        <v>гост 5949/2590 2гп, НД, УЗК МКК</v>
      </c>
      <c r="G385" s="125">
        <f ca="1">IFERROR(__xludf.DUMMYFUNCTION("""COMPUTED_VALUE"""),1.42)</f>
        <v>1.42</v>
      </c>
      <c r="H385" s="125"/>
      <c r="I385" s="131">
        <f ca="1">IFERROR(__xludf.DUMMYFUNCTION("""COMPUTED_VALUE"""),880000)</f>
        <v>880000</v>
      </c>
    </row>
    <row r="386" spans="2:9" ht="15.75" x14ac:dyDescent="0.25">
      <c r="B386" s="123" t="str">
        <f ca="1">IFERROR(__xludf.DUMMYFUNCTION("""COMPUTED_VALUE"""),"круг")</f>
        <v>круг</v>
      </c>
      <c r="C386" s="133" t="str">
        <f ca="1">IFERROR(__xludf.DUMMYFUNCTION("""COMPUTED_VALUE"""),"10Х17Н13М2Т")</f>
        <v>10Х17Н13М2Т</v>
      </c>
      <c r="D386" s="124">
        <f ca="1">IFERROR(__xludf.DUMMYFUNCTION("""COMPUTED_VALUE"""),110)</f>
        <v>110</v>
      </c>
      <c r="E386" s="124"/>
      <c r="F386" s="112" t="str">
        <f ca="1">IFERROR(__xludf.DUMMYFUNCTION("""COMPUTED_VALUE"""),"2ГП , УЗК, МКК, ОБТ")</f>
        <v>2ГП , УЗК, МКК, ОБТ</v>
      </c>
      <c r="G386" s="125">
        <f ca="1">IFERROR(__xludf.DUMMYFUNCTION("""COMPUTED_VALUE"""),2.407)</f>
        <v>2.407</v>
      </c>
      <c r="H386" s="125"/>
      <c r="I386" s="131">
        <f ca="1">IFERROR(__xludf.DUMMYFUNCTION("""COMPUTED_VALUE"""),705000)</f>
        <v>705000</v>
      </c>
    </row>
    <row r="387" spans="2:9" ht="15.75" x14ac:dyDescent="0.25">
      <c r="B387" s="123" t="str">
        <f ca="1">IFERROR(__xludf.DUMMYFUNCTION("""COMPUTED_VALUE"""),"круг")</f>
        <v>круг</v>
      </c>
      <c r="C387" s="133" t="str">
        <f ca="1">IFERROR(__xludf.DUMMYFUNCTION("""COMPUTED_VALUE"""),"10Х17Н13М2Т")</f>
        <v>10Х17Н13М2Т</v>
      </c>
      <c r="D387" s="124">
        <f ca="1">IFERROR(__xludf.DUMMYFUNCTION("""COMPUTED_VALUE"""),110)</f>
        <v>110</v>
      </c>
      <c r="E387" s="124"/>
      <c r="F387" s="112" t="str">
        <f ca="1">IFERROR(__xludf.DUMMYFUNCTION("""COMPUTED_VALUE"""),"3гп, узк МКК")</f>
        <v>3гп, узк МКК</v>
      </c>
      <c r="G387" s="125">
        <f ca="1">IFERROR(__xludf.DUMMYFUNCTION("""COMPUTED_VALUE"""),0.91)</f>
        <v>0.91</v>
      </c>
      <c r="H387" s="125"/>
      <c r="I387" s="131">
        <f ca="1">IFERROR(__xludf.DUMMYFUNCTION("""COMPUTED_VALUE"""),790000)</f>
        <v>790000</v>
      </c>
    </row>
    <row r="388" spans="2:9" ht="15.75" x14ac:dyDescent="0.25">
      <c r="B388" s="123" t="str">
        <f ca="1">IFERROR(__xludf.DUMMYFUNCTION("""COMPUTED_VALUE"""),"круг")</f>
        <v>круг</v>
      </c>
      <c r="C388" s="133" t="str">
        <f ca="1">IFERROR(__xludf.DUMMYFUNCTION("""COMPUTED_VALUE"""),"10Х17Н13М2Т")</f>
        <v>10Х17Н13М2Т</v>
      </c>
      <c r="D388" s="124">
        <f ca="1">IFERROR(__xludf.DUMMYFUNCTION("""COMPUTED_VALUE"""),120)</f>
        <v>120</v>
      </c>
      <c r="E388" s="124"/>
      <c r="F388" s="112" t="str">
        <f ca="1">IFERROR(__xludf.DUMMYFUNCTION("""COMPUTED_VALUE"""),"2ГП , УЗК, МКК, ОБТ")</f>
        <v>2ГП , УЗК, МКК, ОБТ</v>
      </c>
      <c r="G388" s="125">
        <f ca="1">IFERROR(__xludf.DUMMYFUNCTION("""COMPUTED_VALUE"""),2.431)</f>
        <v>2.431</v>
      </c>
      <c r="H388" s="125"/>
      <c r="I388" s="131">
        <f ca="1">IFERROR(__xludf.DUMMYFUNCTION("""COMPUTED_VALUE"""),705000)</f>
        <v>705000</v>
      </c>
    </row>
    <row r="389" spans="2:9" ht="15.75" x14ac:dyDescent="0.25">
      <c r="B389" s="123" t="str">
        <f ca="1">IFERROR(__xludf.DUMMYFUNCTION("""COMPUTED_VALUE"""),"круг")</f>
        <v>круг</v>
      </c>
      <c r="C389" s="133" t="str">
        <f ca="1">IFERROR(__xludf.DUMMYFUNCTION("""COMPUTED_VALUE"""),"10Х17Н13М2Т")</f>
        <v>10Х17Н13М2Т</v>
      </c>
      <c r="D389" s="124">
        <f ca="1">IFERROR(__xludf.DUMMYFUNCTION("""COMPUTED_VALUE"""),120)</f>
        <v>120</v>
      </c>
      <c r="E389" s="124"/>
      <c r="F389" s="112" t="str">
        <f ca="1">IFERROR(__xludf.DUMMYFUNCTION("""COMPUTED_VALUE"""),"3гп, узк МКК")</f>
        <v>3гп, узк МКК</v>
      </c>
      <c r="G389" s="125">
        <f ca="1">IFERROR(__xludf.DUMMYFUNCTION("""COMPUTED_VALUE"""),0.917)</f>
        <v>0.91700000000000004</v>
      </c>
      <c r="H389" s="125"/>
      <c r="I389" s="131">
        <f ca="1">IFERROR(__xludf.DUMMYFUNCTION("""COMPUTED_VALUE"""),790000)</f>
        <v>790000</v>
      </c>
    </row>
    <row r="390" spans="2:9" ht="15.75" x14ac:dyDescent="0.25">
      <c r="B390" s="123" t="str">
        <f ca="1">IFERROR(__xludf.DUMMYFUNCTION("""COMPUTED_VALUE"""),"круг")</f>
        <v>круг</v>
      </c>
      <c r="C390" s="133" t="str">
        <f ca="1">IFERROR(__xludf.DUMMYFUNCTION("""COMPUTED_VALUE"""),"10Х17Н13М2Т")</f>
        <v>10Х17Н13М2Т</v>
      </c>
      <c r="D390" s="124">
        <f ca="1">IFERROR(__xludf.DUMMYFUNCTION("""COMPUTED_VALUE"""),130)</f>
        <v>130</v>
      </c>
      <c r="E390" s="124"/>
      <c r="F390" s="112" t="str">
        <f ca="1">IFERROR(__xludf.DUMMYFUNCTION("""COMPUTED_VALUE"""),"  гост 5949/2590")</f>
        <v xml:space="preserve">  гост 5949/2590</v>
      </c>
      <c r="G390" s="125">
        <f ca="1">IFERROR(__xludf.DUMMYFUNCTION("""COMPUTED_VALUE"""),0.565999999999999)</f>
        <v>0.56599999999999895</v>
      </c>
      <c r="H390" s="125"/>
      <c r="I390" s="131">
        <f ca="1">IFERROR(__xludf.DUMMYFUNCTION("""COMPUTED_VALUE"""),950000)</f>
        <v>950000</v>
      </c>
    </row>
    <row r="391" spans="2:9" ht="15.75" x14ac:dyDescent="0.25">
      <c r="B391" s="123" t="str">
        <f ca="1">IFERROR(__xludf.DUMMYFUNCTION("""COMPUTED_VALUE"""),"круг")</f>
        <v>круг</v>
      </c>
      <c r="C391" s="133" t="str">
        <f ca="1">IFERROR(__xludf.DUMMYFUNCTION("""COMPUTED_VALUE"""),"10Х17Н13М2Т")</f>
        <v>10Х17Н13М2Т</v>
      </c>
      <c r="D391" s="124">
        <f ca="1">IFERROR(__xludf.DUMMYFUNCTION("""COMPUTED_VALUE"""),130)</f>
        <v>130</v>
      </c>
      <c r="E391" s="124"/>
      <c r="F391" s="112" t="str">
        <f ca="1">IFERROR(__xludf.DUMMYFUNCTION("""COMPUTED_VALUE"""),"  3 шт  приход МС")</f>
        <v xml:space="preserve">  3 шт  приход МС</v>
      </c>
      <c r="G391" s="125">
        <f ca="1">IFERROR(__xludf.DUMMYFUNCTION("""COMPUTED_VALUE"""),1.539)</f>
        <v>1.5389999999999999</v>
      </c>
      <c r="H391" s="125"/>
      <c r="I391" s="131">
        <f ca="1">IFERROR(__xludf.DUMMYFUNCTION("""COMPUTED_VALUE"""),950000)</f>
        <v>950000</v>
      </c>
    </row>
    <row r="392" spans="2:9" ht="15.75" x14ac:dyDescent="0.25">
      <c r="B392" s="123" t="str">
        <f ca="1">IFERROR(__xludf.DUMMYFUNCTION("""COMPUTED_VALUE"""),"круг")</f>
        <v>круг</v>
      </c>
      <c r="C392" s="133" t="str">
        <f ca="1">IFERROR(__xludf.DUMMYFUNCTION("""COMPUTED_VALUE"""),"10Х17Н13М2Т")</f>
        <v>10Х17Н13М2Т</v>
      </c>
      <c r="D392" s="124">
        <f ca="1">IFERROR(__xludf.DUMMYFUNCTION("""COMPUTED_VALUE"""),140)</f>
        <v>140</v>
      </c>
      <c r="E392" s="124"/>
      <c r="F392" s="112" t="str">
        <f ca="1">IFERROR(__xludf.DUMMYFUNCTION("""COMPUTED_VALUE"""),"гост 5949/2590, УЗК, рт-тех")</f>
        <v>гост 5949/2590, УЗК, рт-тех</v>
      </c>
      <c r="G392" s="125">
        <f ca="1">IFERROR(__xludf.DUMMYFUNCTION("""COMPUTED_VALUE"""),0.019)</f>
        <v>1.9E-2</v>
      </c>
      <c r="H392" s="125"/>
      <c r="I392" s="131">
        <f ca="1">IFERROR(__xludf.DUMMYFUNCTION("""COMPUTED_VALUE"""),1160000)</f>
        <v>1160000</v>
      </c>
    </row>
    <row r="393" spans="2:9" ht="15.75" x14ac:dyDescent="0.25">
      <c r="B393" s="123" t="str">
        <f ca="1">IFERROR(__xludf.DUMMYFUNCTION("""COMPUTED_VALUE"""),"круг")</f>
        <v>круг</v>
      </c>
      <c r="C393" s="133" t="str">
        <f ca="1">IFERROR(__xludf.DUMMYFUNCTION("""COMPUTED_VALUE"""),"10Х17Н13М2Т")</f>
        <v>10Х17Н13М2Т</v>
      </c>
      <c r="D393" s="124">
        <f ca="1">IFERROR(__xludf.DUMMYFUNCTION("""COMPUTED_VALUE"""),140)</f>
        <v>140</v>
      </c>
      <c r="E393" s="124"/>
      <c r="F393" s="112" t="str">
        <f ca="1">IFERROR(__xludf.DUMMYFUNCTION("""COMPUTED_VALUE"""),"гост 5949/2590 ")</f>
        <v xml:space="preserve">гост 5949/2590 </v>
      </c>
      <c r="G393" s="125">
        <f ca="1">IFERROR(__xludf.DUMMYFUNCTION("""COMPUTED_VALUE"""),2.171)</f>
        <v>2.1709999999999998</v>
      </c>
      <c r="H393" s="125"/>
      <c r="I393" s="131">
        <f ca="1">IFERROR(__xludf.DUMMYFUNCTION("""COMPUTED_VALUE"""),950000)</f>
        <v>950000</v>
      </c>
    </row>
    <row r="394" spans="2:9" ht="15.75" x14ac:dyDescent="0.25">
      <c r="B394" s="123" t="str">
        <f ca="1">IFERROR(__xludf.DUMMYFUNCTION("""COMPUTED_VALUE"""),"круг")</f>
        <v>круг</v>
      </c>
      <c r="C394" s="133" t="str">
        <f ca="1">IFERROR(__xludf.DUMMYFUNCTION("""COMPUTED_VALUE"""),"10Х17Н13М2Т")</f>
        <v>10Х17Н13М2Т</v>
      </c>
      <c r="D394" s="124">
        <f ca="1">IFERROR(__xludf.DUMMYFUNCTION("""COMPUTED_VALUE"""),150)</f>
        <v>150</v>
      </c>
      <c r="E394" s="124"/>
      <c r="F394" s="112" t="str">
        <f ca="1">IFERROR(__xludf.DUMMYFUNCTION("""COMPUTED_VALUE"""),"гост 5949/2590 ")</f>
        <v xml:space="preserve">гост 5949/2590 </v>
      </c>
      <c r="G394" s="125">
        <f ca="1">IFERROR(__xludf.DUMMYFUNCTION("""COMPUTED_VALUE"""),0.138)</f>
        <v>0.13800000000000001</v>
      </c>
      <c r="H394" s="125"/>
      <c r="I394" s="131">
        <f ca="1">IFERROR(__xludf.DUMMYFUNCTION("""COMPUTED_VALUE"""),950000)</f>
        <v>950000</v>
      </c>
    </row>
    <row r="395" spans="2:9" ht="15.75" x14ac:dyDescent="0.25">
      <c r="B395" s="123" t="str">
        <f ca="1">IFERROR(__xludf.DUMMYFUNCTION("""COMPUTED_VALUE"""),"круг")</f>
        <v>круг</v>
      </c>
      <c r="C395" s="133" t="str">
        <f ca="1">IFERROR(__xludf.DUMMYFUNCTION("""COMPUTED_VALUE"""),"10Х17Н13М2Т")</f>
        <v>10Х17Н13М2Т</v>
      </c>
      <c r="D395" s="124">
        <f ca="1">IFERROR(__xludf.DUMMYFUNCTION("""COMPUTED_VALUE"""),150)</f>
        <v>150</v>
      </c>
      <c r="E395" s="124"/>
      <c r="F395" s="112" t="str">
        <f ca="1">IFERROR(__xludf.DUMMYFUNCTION("""COMPUTED_VALUE"""),"3гп, узк МКК")</f>
        <v>3гп, узк МКК</v>
      </c>
      <c r="G395" s="125">
        <f ca="1">IFERROR(__xludf.DUMMYFUNCTION("""COMPUTED_VALUE"""),1.525)</f>
        <v>1.5249999999999999</v>
      </c>
      <c r="H395" s="125"/>
      <c r="I395" s="131">
        <f ca="1">IFERROR(__xludf.DUMMYFUNCTION("""COMPUTED_VALUE"""),950000)</f>
        <v>950000</v>
      </c>
    </row>
    <row r="396" spans="2:9" ht="15.75" x14ac:dyDescent="0.25">
      <c r="B396" s="123" t="str">
        <f ca="1">IFERROR(__xludf.DUMMYFUNCTION("""COMPUTED_VALUE"""),"круг")</f>
        <v>круг</v>
      </c>
      <c r="C396" s="133" t="str">
        <f ca="1">IFERROR(__xludf.DUMMYFUNCTION("""COMPUTED_VALUE"""),"10Х17Н13М2Т")</f>
        <v>10Х17Н13М2Т</v>
      </c>
      <c r="D396" s="124">
        <f ca="1">IFERROR(__xludf.DUMMYFUNCTION("""COMPUTED_VALUE"""),160)</f>
        <v>160</v>
      </c>
      <c r="E396" s="124"/>
      <c r="F396" s="112" t="str">
        <f ca="1">IFERROR(__xludf.DUMMYFUNCTION("""COMPUTED_VALUE"""),"гост 5949/2590 2гп, НД, УЗК МКК")</f>
        <v>гост 5949/2590 2гп, НД, УЗК МКК</v>
      </c>
      <c r="G396" s="125">
        <f ca="1">IFERROR(__xludf.DUMMYFUNCTION("""COMPUTED_VALUE"""),0.430999999999999)</f>
        <v>0.430999999999999</v>
      </c>
      <c r="H396" s="125"/>
      <c r="I396" s="131">
        <f ca="1">IFERROR(__xludf.DUMMYFUNCTION("""COMPUTED_VALUE"""),950000)</f>
        <v>950000</v>
      </c>
    </row>
    <row r="397" spans="2:9" ht="15.75" x14ac:dyDescent="0.25">
      <c r="B397" s="123" t="str">
        <f ca="1">IFERROR(__xludf.DUMMYFUNCTION("""COMPUTED_VALUE"""),"круг")</f>
        <v>круг</v>
      </c>
      <c r="C397" s="133" t="str">
        <f ca="1">IFERROR(__xludf.DUMMYFUNCTION("""COMPUTED_VALUE"""),"10Х17Н13М2Т")</f>
        <v>10Х17Н13М2Т</v>
      </c>
      <c r="D397" s="124">
        <f ca="1">IFERROR(__xludf.DUMMYFUNCTION("""COMPUTED_VALUE"""),160)</f>
        <v>160</v>
      </c>
      <c r="E397" s="124"/>
      <c r="F397" s="112" t="str">
        <f ca="1">IFERROR(__xludf.DUMMYFUNCTION("""COMPUTED_VALUE"""),"гост 5949/2590 2гп, НД, УЗК МКК")</f>
        <v>гост 5949/2590 2гп, НД, УЗК МКК</v>
      </c>
      <c r="G397" s="125">
        <f ca="1">IFERROR(__xludf.DUMMYFUNCTION("""COMPUTED_VALUE"""),0.98)</f>
        <v>0.98</v>
      </c>
      <c r="H397" s="125"/>
      <c r="I397" s="131">
        <f ca="1">IFERROR(__xludf.DUMMYFUNCTION("""COMPUTED_VALUE"""),950000)</f>
        <v>950000</v>
      </c>
    </row>
    <row r="398" spans="2:9" ht="15.75" x14ac:dyDescent="0.25">
      <c r="B398" s="123" t="str">
        <f ca="1">IFERROR(__xludf.DUMMYFUNCTION("""COMPUTED_VALUE"""),"круг")</f>
        <v>круг</v>
      </c>
      <c r="C398" s="133" t="str">
        <f ca="1">IFERROR(__xludf.DUMMYFUNCTION("""COMPUTED_VALUE"""),"10Х17Н13М2Т")</f>
        <v>10Х17Н13М2Т</v>
      </c>
      <c r="D398" s="124">
        <f ca="1">IFERROR(__xludf.DUMMYFUNCTION("""COMPUTED_VALUE"""),170)</f>
        <v>170</v>
      </c>
      <c r="E398" s="124"/>
      <c r="F398" s="112" t="str">
        <f ca="1">IFERROR(__xludf.DUMMYFUNCTION("""COMPUTED_VALUE"""),"2ГП , УЗК, МКК, ОБТ")</f>
        <v>2ГП , УЗК, МКК, ОБТ</v>
      </c>
      <c r="G398" s="125">
        <f ca="1">IFERROR(__xludf.DUMMYFUNCTION("""COMPUTED_VALUE"""),2.3)</f>
        <v>2.2999999999999998</v>
      </c>
      <c r="H398" s="125"/>
      <c r="I398" s="131">
        <f ca="1">IFERROR(__xludf.DUMMYFUNCTION("""COMPUTED_VALUE"""),705000)</f>
        <v>705000</v>
      </c>
    </row>
    <row r="399" spans="2:9" ht="15.75" x14ac:dyDescent="0.25">
      <c r="B399" s="123" t="str">
        <f ca="1">IFERROR(__xludf.DUMMYFUNCTION("""COMPUTED_VALUE"""),"круг")</f>
        <v>круг</v>
      </c>
      <c r="C399" s="133" t="str">
        <f ca="1">IFERROR(__xludf.DUMMYFUNCTION("""COMPUTED_VALUE"""),"10Х17Н13М2Т")</f>
        <v>10Х17Н13М2Т</v>
      </c>
      <c r="D399" s="124">
        <f ca="1">IFERROR(__xludf.DUMMYFUNCTION("""COMPUTED_VALUE"""),180)</f>
        <v>180</v>
      </c>
      <c r="E399" s="124"/>
      <c r="F399" s="112" t="str">
        <f ca="1">IFERROR(__xludf.DUMMYFUNCTION("""COMPUTED_VALUE"""),"2ГП , УЗК, МКК, ОБТ")</f>
        <v>2ГП , УЗК, МКК, ОБТ</v>
      </c>
      <c r="G399" s="125">
        <f ca="1">IFERROR(__xludf.DUMMYFUNCTION("""COMPUTED_VALUE"""),2.448)</f>
        <v>2.448</v>
      </c>
      <c r="H399" s="125"/>
      <c r="I399" s="131">
        <f ca="1">IFERROR(__xludf.DUMMYFUNCTION("""COMPUTED_VALUE"""),705000)</f>
        <v>705000</v>
      </c>
    </row>
    <row r="400" spans="2:9" ht="15.75" x14ac:dyDescent="0.25">
      <c r="B400" s="123" t="str">
        <f ca="1">IFERROR(__xludf.DUMMYFUNCTION("""COMPUTED_VALUE"""),"круг")</f>
        <v>круг</v>
      </c>
      <c r="C400" s="133" t="str">
        <f ca="1">IFERROR(__xludf.DUMMYFUNCTION("""COMPUTED_VALUE"""),"10Х17Н13М2Т")</f>
        <v>10Х17Н13М2Т</v>
      </c>
      <c r="D400" s="124">
        <f ca="1">IFERROR(__xludf.DUMMYFUNCTION("""COMPUTED_VALUE"""),180)</f>
        <v>180</v>
      </c>
      <c r="E400" s="124"/>
      <c r="F400" s="112" t="str">
        <f ca="1">IFERROR(__xludf.DUMMYFUNCTION("""COMPUTED_VALUE"""),"3гп, узк МКК")</f>
        <v>3гп, узк МКК</v>
      </c>
      <c r="G400" s="125">
        <f ca="1">IFERROR(__xludf.DUMMYFUNCTION("""COMPUTED_VALUE"""),0.044)</f>
        <v>4.3999999999999997E-2</v>
      </c>
      <c r="H400" s="125"/>
      <c r="I400" s="131">
        <f ca="1">IFERROR(__xludf.DUMMYFUNCTION("""COMPUTED_VALUE"""),790000)</f>
        <v>790000</v>
      </c>
    </row>
    <row r="401" spans="2:9" ht="15.75" x14ac:dyDescent="0.25">
      <c r="B401" s="123" t="str">
        <f ca="1">IFERROR(__xludf.DUMMYFUNCTION("""COMPUTED_VALUE"""),"круг")</f>
        <v>круг</v>
      </c>
      <c r="C401" s="133" t="str">
        <f ca="1">IFERROR(__xludf.DUMMYFUNCTION("""COMPUTED_VALUE"""),"10Х17Н13М2Т")</f>
        <v>10Х17Н13М2Т</v>
      </c>
      <c r="D401" s="124">
        <f ca="1">IFERROR(__xludf.DUMMYFUNCTION("""COMPUTED_VALUE"""),190)</f>
        <v>190</v>
      </c>
      <c r="E401" s="124"/>
      <c r="F401" s="112" t="str">
        <f ca="1">IFERROR(__xludf.DUMMYFUNCTION("""COMPUTED_VALUE"""),"гост 5949/2590 ")</f>
        <v xml:space="preserve">гост 5949/2590 </v>
      </c>
      <c r="G401" s="125">
        <f ca="1">IFERROR(__xludf.DUMMYFUNCTION("""COMPUTED_VALUE"""),0.0559999999999998)</f>
        <v>5.59999999999998E-2</v>
      </c>
      <c r="H401" s="125"/>
      <c r="I401" s="131">
        <f ca="1">IFERROR(__xludf.DUMMYFUNCTION("""COMPUTED_VALUE"""),950000)</f>
        <v>950000</v>
      </c>
    </row>
    <row r="402" spans="2:9" ht="15.75" x14ac:dyDescent="0.25">
      <c r="B402" s="123" t="str">
        <f ca="1">IFERROR(__xludf.DUMMYFUNCTION("""COMPUTED_VALUE"""),"круг")</f>
        <v>круг</v>
      </c>
      <c r="C402" s="133" t="str">
        <f ca="1">IFERROR(__xludf.DUMMYFUNCTION("""COMPUTED_VALUE"""),"10Х17Н13М2Т")</f>
        <v>10Х17Н13М2Т</v>
      </c>
      <c r="D402" s="124">
        <f ca="1">IFERROR(__xludf.DUMMYFUNCTION("""COMPUTED_VALUE"""),190)</f>
        <v>190</v>
      </c>
      <c r="E402" s="124"/>
      <c r="F402" s="112"/>
      <c r="G402" s="125">
        <f ca="1">IFERROR(__xludf.DUMMYFUNCTION("""COMPUTED_VALUE"""),0.347)</f>
        <v>0.34699999999999998</v>
      </c>
      <c r="H402" s="125"/>
      <c r="I402" s="131">
        <f ca="1">IFERROR(__xludf.DUMMYFUNCTION("""COMPUTED_VALUE"""),950000)</f>
        <v>950000</v>
      </c>
    </row>
    <row r="403" spans="2:9" ht="15.75" x14ac:dyDescent="0.25">
      <c r="B403" s="123" t="str">
        <f ca="1">IFERROR(__xludf.DUMMYFUNCTION("""COMPUTED_VALUE"""),"круг")</f>
        <v>круг</v>
      </c>
      <c r="C403" s="133" t="str">
        <f ca="1">IFERROR(__xludf.DUMMYFUNCTION("""COMPUTED_VALUE"""),"10Х17Н13М2Т")</f>
        <v>10Х17Н13М2Т</v>
      </c>
      <c r="D403" s="124">
        <f ca="1">IFERROR(__xludf.DUMMYFUNCTION("""COMPUTED_VALUE"""),190)</f>
        <v>190</v>
      </c>
      <c r="E403" s="124"/>
      <c r="F403" s="112" t="str">
        <f ca="1">IFERROR(__xludf.DUMMYFUNCTION("""COMPUTED_VALUE"""),"гост 5949/2590 2гп, НД, УЗК МКК")</f>
        <v>гост 5949/2590 2гп, НД, УЗК МКК</v>
      </c>
      <c r="G403" s="125">
        <f ca="1">IFERROR(__xludf.DUMMYFUNCTION("""COMPUTED_VALUE"""),0.658)</f>
        <v>0.65800000000000003</v>
      </c>
      <c r="H403" s="125"/>
      <c r="I403" s="131">
        <f ca="1">IFERROR(__xludf.DUMMYFUNCTION("""COMPUTED_VALUE"""),950000)</f>
        <v>950000</v>
      </c>
    </row>
    <row r="404" spans="2:9" ht="15.75" x14ac:dyDescent="0.25">
      <c r="B404" s="123" t="str">
        <f ca="1">IFERROR(__xludf.DUMMYFUNCTION("""COMPUTED_VALUE"""),"круг")</f>
        <v>круг</v>
      </c>
      <c r="C404" s="133" t="str">
        <f ca="1">IFERROR(__xludf.DUMMYFUNCTION("""COMPUTED_VALUE"""),"10Х17Н13М2Т")</f>
        <v>10Х17Н13М2Т</v>
      </c>
      <c r="D404" s="124">
        <f ca="1">IFERROR(__xludf.DUMMYFUNCTION("""COMPUTED_VALUE"""),200)</f>
        <v>200</v>
      </c>
      <c r="E404" s="124"/>
      <c r="F404" s="112"/>
      <c r="G404" s="125">
        <f ca="1">IFERROR(__xludf.DUMMYFUNCTION("""COMPUTED_VALUE"""),0.282999999999999)</f>
        <v>0.28299999999999897</v>
      </c>
      <c r="H404" s="125"/>
      <c r="I404" s="131">
        <f ca="1">IFERROR(__xludf.DUMMYFUNCTION("""COMPUTED_VALUE"""),970000)</f>
        <v>970000</v>
      </c>
    </row>
    <row r="405" spans="2:9" ht="15.75" x14ac:dyDescent="0.25">
      <c r="B405" s="123" t="str">
        <f ca="1">IFERROR(__xludf.DUMMYFUNCTION("""COMPUTED_VALUE"""),"круг")</f>
        <v>круг</v>
      </c>
      <c r="C405" s="133" t="str">
        <f ca="1">IFERROR(__xludf.DUMMYFUNCTION("""COMPUTED_VALUE"""),"10Х17Н13М2Т")</f>
        <v>10Х17Н13М2Т</v>
      </c>
      <c r="D405" s="124">
        <f ca="1">IFERROR(__xludf.DUMMYFUNCTION("""COMPUTED_VALUE"""),200)</f>
        <v>200</v>
      </c>
      <c r="E405" s="124"/>
      <c r="F405" s="112" t="str">
        <f ca="1">IFERROR(__xludf.DUMMYFUNCTION("""COMPUTED_VALUE"""),"3гп, узк МКК")</f>
        <v>3гп, узк МКК</v>
      </c>
      <c r="G405" s="125">
        <f ca="1">IFERROR(__xludf.DUMMYFUNCTION("""COMPUTED_VALUE"""),1.67)</f>
        <v>1.67</v>
      </c>
      <c r="H405" s="125"/>
      <c r="I405" s="131">
        <f ca="1">IFERROR(__xludf.DUMMYFUNCTION("""COMPUTED_VALUE"""),970000)</f>
        <v>970000</v>
      </c>
    </row>
    <row r="406" spans="2:9" ht="15.75" x14ac:dyDescent="0.25">
      <c r="B406" s="123" t="str">
        <f ca="1">IFERROR(__xludf.DUMMYFUNCTION("""COMPUTED_VALUE"""),"круг")</f>
        <v>круг</v>
      </c>
      <c r="C406" s="133" t="str">
        <f ca="1">IFERROR(__xludf.DUMMYFUNCTION("""COMPUTED_VALUE"""),"10Х17Н13М2Т")</f>
        <v>10Х17Н13М2Т</v>
      </c>
      <c r="D406" s="124">
        <f ca="1">IFERROR(__xludf.DUMMYFUNCTION("""COMPUTED_VALUE"""),220)</f>
        <v>220</v>
      </c>
      <c r="E406" s="124"/>
      <c r="F406" s="11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06" s="125">
        <f ca="1">IFERROR(__xludf.DUMMYFUNCTION("""COMPUTED_VALUE"""),0.0169999999999999)</f>
        <v>1.6999999999999901E-2</v>
      </c>
      <c r="H406" s="125"/>
      <c r="I406" s="131">
        <f ca="1">IFERROR(__xludf.DUMMYFUNCTION("""COMPUTED_VALUE"""),1050000)</f>
        <v>1050000</v>
      </c>
    </row>
    <row r="407" spans="2:9" ht="15.75" x14ac:dyDescent="0.25">
      <c r="B407" s="123" t="str">
        <f ca="1">IFERROR(__xludf.DUMMYFUNCTION("""COMPUTED_VALUE"""),"круг")</f>
        <v>круг</v>
      </c>
      <c r="C407" s="133" t="str">
        <f ca="1">IFERROR(__xludf.DUMMYFUNCTION("""COMPUTED_VALUE"""),"10Х17Н13М2Т")</f>
        <v>10Х17Н13М2Т</v>
      </c>
      <c r="D407" s="124">
        <f ca="1">IFERROR(__xludf.DUMMYFUNCTION("""COMPUTED_VALUE"""),230)</f>
        <v>230</v>
      </c>
      <c r="E407" s="124"/>
      <c r="F407" s="112" t="str">
        <f ca="1">IFERROR(__xludf.DUMMYFUNCTION("""COMPUTED_VALUE"""),"14-1-1530-75.УЗК")</f>
        <v>14-1-1530-75.УЗК</v>
      </c>
      <c r="G407" s="125">
        <f ca="1">IFERROR(__xludf.DUMMYFUNCTION("""COMPUTED_VALUE"""),0.286999999999999)</f>
        <v>0.28699999999999898</v>
      </c>
      <c r="H407" s="125"/>
      <c r="I407" s="131">
        <f ca="1">IFERROR(__xludf.DUMMYFUNCTION("""COMPUTED_VALUE"""),900000)</f>
        <v>900000</v>
      </c>
    </row>
    <row r="408" spans="2:9" ht="15.75" x14ac:dyDescent="0.25">
      <c r="B408" s="123" t="str">
        <f ca="1">IFERROR(__xludf.DUMMYFUNCTION("""COMPUTED_VALUE"""),"круг")</f>
        <v>круг</v>
      </c>
      <c r="C408" s="133" t="str">
        <f ca="1">IFERROR(__xludf.DUMMYFUNCTION("""COMPUTED_VALUE"""),"10Х17Н13М2Т")</f>
        <v>10Х17Н13М2Т</v>
      </c>
      <c r="D408" s="124">
        <f ca="1">IFERROR(__xludf.DUMMYFUNCTION("""COMPUTED_VALUE"""),230)</f>
        <v>230</v>
      </c>
      <c r="E408" s="124"/>
      <c r="F408" s="112" t="str">
        <f ca="1">IFERROR(__xludf.DUMMYFUNCTION("""COMPUTED_VALUE"""),"14-1-1530-75.УЗК")</f>
        <v>14-1-1530-75.УЗК</v>
      </c>
      <c r="G408" s="125">
        <f ca="1">IFERROR(__xludf.DUMMYFUNCTION("""COMPUTED_VALUE"""),0.659999999999999)</f>
        <v>0.65999999999999903</v>
      </c>
      <c r="H408" s="125"/>
      <c r="I408" s="131">
        <f ca="1">IFERROR(__xludf.DUMMYFUNCTION("""COMPUTED_VALUE"""),900000)</f>
        <v>900000</v>
      </c>
    </row>
    <row r="409" spans="2:9" ht="15.75" x14ac:dyDescent="0.25">
      <c r="B409" s="123" t="str">
        <f ca="1">IFERROR(__xludf.DUMMYFUNCTION("""COMPUTED_VALUE"""),"круг")</f>
        <v>круг</v>
      </c>
      <c r="C409" s="133" t="str">
        <f ca="1">IFERROR(__xludf.DUMMYFUNCTION("""COMPUTED_VALUE"""),"10Х17Н13М2Т")</f>
        <v>10Х17Н13М2Т</v>
      </c>
      <c r="D409" s="124">
        <f ca="1">IFERROR(__xludf.DUMMYFUNCTION("""COMPUTED_VALUE"""),250)</f>
        <v>250</v>
      </c>
      <c r="E409" s="124"/>
      <c r="F409" s="112" t="str">
        <f ca="1">IFERROR(__xludf.DUMMYFUNCTION("""COMPUTED_VALUE"""),"14-1-1530-75.УЗК")</f>
        <v>14-1-1530-75.УЗК</v>
      </c>
      <c r="G409" s="125">
        <f ca="1">IFERROR(__xludf.DUMMYFUNCTION("""COMPUTED_VALUE"""),1.48199999999999)</f>
        <v>1.48199999999999</v>
      </c>
      <c r="H409" s="125"/>
      <c r="I409" s="131">
        <f ca="1">IFERROR(__xludf.DUMMYFUNCTION("""COMPUTED_VALUE"""),900000)</f>
        <v>900000</v>
      </c>
    </row>
    <row r="410" spans="2:9" ht="15.75" x14ac:dyDescent="0.25">
      <c r="B410" s="123" t="str">
        <f ca="1">IFERROR(__xludf.DUMMYFUNCTION("""COMPUTED_VALUE"""),"круг")</f>
        <v>круг</v>
      </c>
      <c r="C410" s="133" t="str">
        <f ca="1">IFERROR(__xludf.DUMMYFUNCTION("""COMPUTED_VALUE"""),"10Х17Н13М2Т")</f>
        <v>10Х17Н13М2Т</v>
      </c>
      <c r="D410" s="124">
        <f ca="1">IFERROR(__xludf.DUMMYFUNCTION("""COMPUTED_VALUE"""),270)</f>
        <v>270</v>
      </c>
      <c r="E410" s="124"/>
      <c r="F410" s="112" t="str">
        <f ca="1">IFERROR(__xludf.DUMMYFUNCTION("""COMPUTED_VALUE"""),"14-1-1530-75.УЗК")</f>
        <v>14-1-1530-75.УЗК</v>
      </c>
      <c r="G410" s="125">
        <f ca="1">IFERROR(__xludf.DUMMYFUNCTION("""COMPUTED_VALUE"""),1.118)</f>
        <v>1.1180000000000001</v>
      </c>
      <c r="H410" s="125"/>
      <c r="I410" s="131">
        <f ca="1">IFERROR(__xludf.DUMMYFUNCTION("""COMPUTED_VALUE"""),900000)</f>
        <v>900000</v>
      </c>
    </row>
    <row r="411" spans="2:9" ht="15.75" x14ac:dyDescent="0.25">
      <c r="B411" s="123" t="str">
        <f ca="1">IFERROR(__xludf.DUMMYFUNCTION("""COMPUTED_VALUE"""),"круг")</f>
        <v>круг</v>
      </c>
      <c r="C411" s="133" t="str">
        <f ca="1">IFERROR(__xludf.DUMMYFUNCTION("""COMPUTED_VALUE"""),"10Х17Н13М2Т")</f>
        <v>10Х17Н13М2Т</v>
      </c>
      <c r="D411" s="124">
        <f ca="1">IFERROR(__xludf.DUMMYFUNCTION("""COMPUTED_VALUE"""),270)</f>
        <v>270</v>
      </c>
      <c r="E411" s="124"/>
      <c r="F411" s="11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11" s="125">
        <f ca="1">IFERROR(__xludf.DUMMYFUNCTION("""COMPUTED_VALUE"""),1.47)</f>
        <v>1.47</v>
      </c>
      <c r="H411" s="125"/>
      <c r="I411" s="131">
        <f ca="1">IFERROR(__xludf.DUMMYFUNCTION("""COMPUTED_VALUE"""),1050000)</f>
        <v>1050000</v>
      </c>
    </row>
    <row r="412" spans="2:9" ht="15.75" x14ac:dyDescent="0.25">
      <c r="B412" s="123" t="str">
        <f ca="1">IFERROR(__xludf.DUMMYFUNCTION("""COMPUTED_VALUE"""),"круг")</f>
        <v>круг</v>
      </c>
      <c r="C412" s="133" t="str">
        <f ca="1">IFERROR(__xludf.DUMMYFUNCTION("""COMPUTED_VALUE"""),"10Х17Н13М2Т")</f>
        <v>10Х17Н13М2Т</v>
      </c>
      <c r="D412" s="124">
        <f ca="1">IFERROR(__xludf.DUMMYFUNCTION("""COMPUTED_VALUE"""),300)</f>
        <v>300</v>
      </c>
      <c r="E412" s="124"/>
      <c r="F412" s="112"/>
      <c r="G412" s="125">
        <f ca="1">IFERROR(__xludf.DUMMYFUNCTION("""COMPUTED_VALUE"""),1.96099999999999)</f>
        <v>1.9609999999999901</v>
      </c>
      <c r="H412" s="125"/>
      <c r="I412" s="131">
        <f ca="1">IFERROR(__xludf.DUMMYFUNCTION("""COMPUTED_VALUE"""),1050000)</f>
        <v>1050000</v>
      </c>
    </row>
    <row r="413" spans="2:9" ht="15.75" x14ac:dyDescent="0.25">
      <c r="B413" s="123" t="str">
        <f ca="1">IFERROR(__xludf.DUMMYFUNCTION("""COMPUTED_VALUE"""),"круг")</f>
        <v>круг</v>
      </c>
      <c r="C413" s="133" t="str">
        <f ca="1">IFERROR(__xludf.DUMMYFUNCTION("""COMPUTED_VALUE"""),"10Х17Н13М2Т")</f>
        <v>10Х17Н13М2Т</v>
      </c>
      <c r="D413" s="124">
        <f ca="1">IFERROR(__xludf.DUMMYFUNCTION("""COMPUTED_VALUE"""),300)</f>
        <v>300</v>
      </c>
      <c r="E413" s="124"/>
      <c r="F413" s="112" t="str">
        <f ca="1">IFERROR(__xludf.DUMMYFUNCTION("""COMPUTED_VALUE"""),"    ")</f>
        <v xml:space="preserve">    </v>
      </c>
      <c r="G413" s="125">
        <f ca="1">IFERROR(__xludf.DUMMYFUNCTION("""COMPUTED_VALUE"""),1.49)</f>
        <v>1.49</v>
      </c>
      <c r="H413" s="125"/>
      <c r="I413" s="131">
        <f ca="1">IFERROR(__xludf.DUMMYFUNCTION("""COMPUTED_VALUE"""),1050000)</f>
        <v>1050000</v>
      </c>
    </row>
    <row r="414" spans="2:9" ht="15.75" x14ac:dyDescent="0.25">
      <c r="B414" s="123" t="str">
        <f ca="1">IFERROR(__xludf.DUMMYFUNCTION("""COMPUTED_VALUE"""),"круг")</f>
        <v>круг</v>
      </c>
      <c r="C414" s="133" t="str">
        <f ca="1">IFERROR(__xludf.DUMMYFUNCTION("""COMPUTED_VALUE"""),"10Х17Н13М2Т")</f>
        <v>10Х17Н13М2Т</v>
      </c>
      <c r="D414" s="124">
        <f ca="1">IFERROR(__xludf.DUMMYFUNCTION("""COMPUTED_VALUE"""),300)</f>
        <v>300</v>
      </c>
      <c r="E414" s="124"/>
      <c r="F414" s="112" t="str">
        <f ca="1">IFERROR(__xludf.DUMMYFUNCTION("""COMPUTED_VALUE"""),"гост 5949 ТУ 14-11-1530 без обточки")</f>
        <v>гост 5949 ТУ 14-11-1530 без обточки</v>
      </c>
      <c r="G414" s="125">
        <f ca="1">IFERROR(__xludf.DUMMYFUNCTION("""COMPUTED_VALUE"""),1.445)</f>
        <v>1.4450000000000001</v>
      </c>
      <c r="H414" s="125"/>
      <c r="I414" s="131">
        <f ca="1">IFERROR(__xludf.DUMMYFUNCTION("""COMPUTED_VALUE"""),1050000)</f>
        <v>1050000</v>
      </c>
    </row>
    <row r="415" spans="2:9" ht="15.75" x14ac:dyDescent="0.25">
      <c r="B415" s="123" t="str">
        <f ca="1">IFERROR(__xludf.DUMMYFUNCTION("""COMPUTED_VALUE"""),"круг")</f>
        <v>круг</v>
      </c>
      <c r="C415" s="133" t="str">
        <f ca="1">IFERROR(__xludf.DUMMYFUNCTION("""COMPUTED_VALUE"""),"10Х17Н13М2Т")</f>
        <v>10Х17Н13М2Т</v>
      </c>
      <c r="D415" s="124">
        <f ca="1">IFERROR(__xludf.DUMMYFUNCTION("""COMPUTED_VALUE"""),320)</f>
        <v>320</v>
      </c>
      <c r="E415" s="124"/>
      <c r="F415" s="112" t="str">
        <f ca="1">IFERROR(__xludf.DUMMYFUNCTION("""COMPUTED_VALUE"""),"  ")</f>
        <v xml:space="preserve">  </v>
      </c>
      <c r="G415" s="125">
        <f ca="1">IFERROR(__xludf.DUMMYFUNCTION("""COMPUTED_VALUE"""),0.0330000000000001)</f>
        <v>3.3000000000000099E-2</v>
      </c>
      <c r="H415" s="125"/>
      <c r="I415" s="131">
        <f ca="1">IFERROR(__xludf.DUMMYFUNCTION("""COMPUTED_VALUE"""),1050000)</f>
        <v>1050000</v>
      </c>
    </row>
    <row r="416" spans="2:9" ht="15.75" x14ac:dyDescent="0.25">
      <c r="B416" s="123" t="str">
        <f ca="1">IFERROR(__xludf.DUMMYFUNCTION("""COMPUTED_VALUE"""),"круг")</f>
        <v>круг</v>
      </c>
      <c r="C416" s="133" t="str">
        <f ca="1">IFERROR(__xludf.DUMMYFUNCTION("""COMPUTED_VALUE"""),"10Х17Н13М2Т")</f>
        <v>10Х17Н13М2Т</v>
      </c>
      <c r="D416" s="124">
        <f ca="1">IFERROR(__xludf.DUMMYFUNCTION("""COMPUTED_VALUE"""),340)</f>
        <v>340</v>
      </c>
      <c r="E416" s="124"/>
      <c r="F416" s="112"/>
      <c r="G416" s="125">
        <f ca="1">IFERROR(__xludf.DUMMYFUNCTION("""COMPUTED_VALUE"""),0.998)</f>
        <v>0.998</v>
      </c>
      <c r="H416" s="125"/>
      <c r="I416" s="131">
        <f ca="1">IFERROR(__xludf.DUMMYFUNCTION("""COMPUTED_VALUE"""),1050000)</f>
        <v>1050000</v>
      </c>
    </row>
    <row r="417" spans="2:9" ht="15.75" x14ac:dyDescent="0.25">
      <c r="B417" s="123" t="str">
        <f ca="1">IFERROR(__xludf.DUMMYFUNCTION("""COMPUTED_VALUE"""),"круг")</f>
        <v>круг</v>
      </c>
      <c r="C417" s="133" t="str">
        <f ca="1">IFERROR(__xludf.DUMMYFUNCTION("""COMPUTED_VALUE"""),"10Х17Н13М2Т")</f>
        <v>10Х17Н13М2Т</v>
      </c>
      <c r="D417" s="124">
        <f ca="1">IFERROR(__xludf.DUMMYFUNCTION("""COMPUTED_VALUE"""),340)</f>
        <v>340</v>
      </c>
      <c r="E417" s="124"/>
      <c r="F417" s="112"/>
      <c r="G417" s="125">
        <f ca="1">IFERROR(__xludf.DUMMYFUNCTION("""COMPUTED_VALUE"""),1.485)</f>
        <v>1.4850000000000001</v>
      </c>
      <c r="H417" s="125"/>
      <c r="I417" s="131">
        <f ca="1">IFERROR(__xludf.DUMMYFUNCTION("""COMPUTED_VALUE"""),1050000)</f>
        <v>1050000</v>
      </c>
    </row>
    <row r="418" spans="2:9" ht="15.75" x14ac:dyDescent="0.25">
      <c r="B418" s="123" t="str">
        <f ca="1">IFERROR(__xludf.DUMMYFUNCTION("""COMPUTED_VALUE"""),"круг")</f>
        <v>круг</v>
      </c>
      <c r="C418" s="133" t="str">
        <f ca="1">IFERROR(__xludf.DUMMYFUNCTION("""COMPUTED_VALUE"""),"10Х17Н13М2Т")</f>
        <v>10Х17Н13М2Т</v>
      </c>
      <c r="D418" s="124">
        <f ca="1">IFERROR(__xludf.DUMMYFUNCTION("""COMPUTED_VALUE"""),340)</f>
        <v>340</v>
      </c>
      <c r="E418" s="124"/>
      <c r="F418" s="11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18" s="125">
        <f ca="1">IFERROR(__xludf.DUMMYFUNCTION("""COMPUTED_VALUE"""),1.395)</f>
        <v>1.395</v>
      </c>
      <c r="H418" s="125"/>
      <c r="I418" s="131">
        <f ca="1">IFERROR(__xludf.DUMMYFUNCTION("""COMPUTED_VALUE"""),1050000)</f>
        <v>1050000</v>
      </c>
    </row>
    <row r="419" spans="2:9" ht="15.75" x14ac:dyDescent="0.25">
      <c r="B419" s="123" t="str">
        <f ca="1">IFERROR(__xludf.DUMMYFUNCTION("""COMPUTED_VALUE"""),"круг")</f>
        <v>круг</v>
      </c>
      <c r="C419" s="133" t="str">
        <f ca="1">IFERROR(__xludf.DUMMYFUNCTION("""COMPUTED_VALUE"""),"10Х17Н13М2Т")</f>
        <v>10Х17Н13М2Т</v>
      </c>
      <c r="D419" s="124">
        <f ca="1">IFERROR(__xludf.DUMMYFUNCTION("""COMPUTED_VALUE"""),340)</f>
        <v>340</v>
      </c>
      <c r="E419" s="124"/>
      <c r="F419" s="11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19" s="125">
        <f ca="1">IFERROR(__xludf.DUMMYFUNCTION("""COMPUTED_VALUE"""),2.95)</f>
        <v>2.95</v>
      </c>
      <c r="H419" s="125"/>
      <c r="I419" s="131">
        <f ca="1">IFERROR(__xludf.DUMMYFUNCTION("""COMPUTED_VALUE"""),1050000)</f>
        <v>1050000</v>
      </c>
    </row>
    <row r="420" spans="2:9" ht="15.75" x14ac:dyDescent="0.25">
      <c r="B420" s="123" t="str">
        <f ca="1">IFERROR(__xludf.DUMMYFUNCTION("""COMPUTED_VALUE"""),"круг")</f>
        <v>круг</v>
      </c>
      <c r="C420" s="133" t="str">
        <f ca="1">IFERROR(__xludf.DUMMYFUNCTION("""COMPUTED_VALUE"""),"10Х17Н13М2Т")</f>
        <v>10Х17Н13М2Т</v>
      </c>
      <c r="D420" s="124">
        <f ca="1">IFERROR(__xludf.DUMMYFUNCTION("""COMPUTED_VALUE"""),360)</f>
        <v>360</v>
      </c>
      <c r="E420" s="124"/>
      <c r="F420" s="112"/>
      <c r="G420" s="125">
        <f ca="1">IFERROR(__xludf.DUMMYFUNCTION("""COMPUTED_VALUE"""),0.058)</f>
        <v>5.8000000000000003E-2</v>
      </c>
      <c r="H420" s="125"/>
      <c r="I420" s="131">
        <f ca="1">IFERROR(__xludf.DUMMYFUNCTION("""COMPUTED_VALUE"""),1050000)</f>
        <v>1050000</v>
      </c>
    </row>
    <row r="421" spans="2:9" ht="15.75" x14ac:dyDescent="0.25">
      <c r="B421" s="123" t="str">
        <f ca="1">IFERROR(__xludf.DUMMYFUNCTION("""COMPUTED_VALUE"""),"круг")</f>
        <v>круг</v>
      </c>
      <c r="C421" s="133" t="str">
        <f ca="1">IFERROR(__xludf.DUMMYFUNCTION("""COMPUTED_VALUE"""),"10Х17Н13М2Т")</f>
        <v>10Х17Н13М2Т</v>
      </c>
      <c r="D421" s="124">
        <f ca="1">IFERROR(__xludf.DUMMYFUNCTION("""COMPUTED_VALUE"""),360)</f>
        <v>360</v>
      </c>
      <c r="E421" s="124"/>
      <c r="F421" s="112"/>
      <c r="G421" s="125">
        <f ca="1">IFERROR(__xludf.DUMMYFUNCTION("""COMPUTED_VALUE"""),0.108)</f>
        <v>0.108</v>
      </c>
      <c r="H421" s="125"/>
      <c r="I421" s="131">
        <f ca="1">IFERROR(__xludf.DUMMYFUNCTION("""COMPUTED_VALUE"""),1050000)</f>
        <v>1050000</v>
      </c>
    </row>
    <row r="422" spans="2:9" ht="15.75" x14ac:dyDescent="0.25">
      <c r="B422" s="123" t="str">
        <f ca="1">IFERROR(__xludf.DUMMYFUNCTION("""COMPUTED_VALUE"""),"круг")</f>
        <v>круг</v>
      </c>
      <c r="C422" s="133" t="str">
        <f ca="1">IFERROR(__xludf.DUMMYFUNCTION("""COMPUTED_VALUE"""),"10Х17Н13М2Т")</f>
        <v>10Х17Н13М2Т</v>
      </c>
      <c r="D422" s="124">
        <f ca="1">IFERROR(__xludf.DUMMYFUNCTION("""COMPUTED_VALUE"""),360)</f>
        <v>360</v>
      </c>
      <c r="E422" s="124"/>
      <c r="F422" s="11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22" s="125">
        <f ca="1">IFERROR(__xludf.DUMMYFUNCTION("""COMPUTED_VALUE"""),2.224)</f>
        <v>2.2240000000000002</v>
      </c>
      <c r="H422" s="125"/>
      <c r="I422" s="131">
        <f ca="1">IFERROR(__xludf.DUMMYFUNCTION("""COMPUTED_VALUE"""),1050000)</f>
        <v>1050000</v>
      </c>
    </row>
    <row r="423" spans="2:9" ht="15.75" x14ac:dyDescent="0.25">
      <c r="B423" s="123" t="str">
        <f ca="1">IFERROR(__xludf.DUMMYFUNCTION("""COMPUTED_VALUE"""),"круг")</f>
        <v>круг</v>
      </c>
      <c r="C423" s="133" t="str">
        <f ca="1">IFERROR(__xludf.DUMMYFUNCTION("""COMPUTED_VALUE"""),"10Х17Н13М2Т")</f>
        <v>10Х17Н13М2Т</v>
      </c>
      <c r="D423" s="124">
        <f ca="1">IFERROR(__xludf.DUMMYFUNCTION("""COMPUTED_VALUE"""),400)</f>
        <v>400</v>
      </c>
      <c r="E423" s="124"/>
      <c r="F423" s="11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23" s="125">
        <f ca="1">IFERROR(__xludf.DUMMYFUNCTION("""COMPUTED_VALUE"""),1.09399999999999)</f>
        <v>1.0939999999999901</v>
      </c>
      <c r="H423" s="125"/>
      <c r="I423" s="131">
        <f ca="1">IFERROR(__xludf.DUMMYFUNCTION("""COMPUTED_VALUE"""),1050000)</f>
        <v>1050000</v>
      </c>
    </row>
    <row r="424" spans="2:9" ht="15.75" x14ac:dyDescent="0.25">
      <c r="B424" s="123" t="str">
        <f ca="1">IFERROR(__xludf.DUMMYFUNCTION("""COMPUTED_VALUE"""),"круг")</f>
        <v>круг</v>
      </c>
      <c r="C424" s="133" t="str">
        <f ca="1">IFERROR(__xludf.DUMMYFUNCTION("""COMPUTED_VALUE"""),"10Х17Н13М2Т")</f>
        <v>10Х17Н13М2Т</v>
      </c>
      <c r="D424" s="124">
        <f ca="1">IFERROR(__xludf.DUMMYFUNCTION("""COMPUTED_VALUE"""),500)</f>
        <v>500</v>
      </c>
      <c r="E424" s="124"/>
      <c r="F424" s="112" t="str">
        <f ca="1">IFERROR(__xludf.DUMMYFUNCTION("""COMPUTED_VALUE"""),"14-1-1530-75.УЗК, обточ")</f>
        <v>14-1-1530-75.УЗК, обточ</v>
      </c>
      <c r="G424" s="125">
        <f ca="1">IFERROR(__xludf.DUMMYFUNCTION("""COMPUTED_VALUE"""),4.175)</f>
        <v>4.1749999999999998</v>
      </c>
      <c r="H424" s="125"/>
      <c r="I424" s="131">
        <f ca="1">IFERROR(__xludf.DUMMYFUNCTION("""COMPUTED_VALUE"""),900000)</f>
        <v>900000</v>
      </c>
    </row>
    <row r="425" spans="2:9" ht="15.75" x14ac:dyDescent="0.25">
      <c r="B425" s="123" t="str">
        <f ca="1">IFERROR(__xludf.DUMMYFUNCTION("""COMPUTED_VALUE"""),"Круг")</f>
        <v>Круг</v>
      </c>
      <c r="C425" s="133" t="str">
        <f ca="1">IFERROR(__xludf.DUMMYFUNCTION("""COMPUTED_VALUE"""),"12х18н10т-ВД")</f>
        <v>12х18н10т-ВД</v>
      </c>
      <c r="D425" s="124">
        <f ca="1">IFERROR(__xludf.DUMMYFUNCTION("""COMPUTED_VALUE"""),22)</f>
        <v>22</v>
      </c>
      <c r="E425" s="124"/>
      <c r="F425" s="112" t="str">
        <f ca="1">IFERROR(__xludf.DUMMYFUNCTION("""COMPUTED_VALUE"""),"УЗК,  АТП  ТУ 14-1-3581")</f>
        <v>УЗК,  АТП  ТУ 14-1-3581</v>
      </c>
      <c r="G425" s="125">
        <f ca="1">IFERROR(__xludf.DUMMYFUNCTION("""COMPUTED_VALUE"""),0.069)</f>
        <v>6.9000000000000006E-2</v>
      </c>
      <c r="H425" s="125"/>
      <c r="I425" s="131">
        <f ca="1">IFERROR(__xludf.DUMMYFUNCTION("""COMPUTED_VALUE"""),950000)</f>
        <v>950000</v>
      </c>
    </row>
    <row r="426" spans="2:9" ht="15.75" x14ac:dyDescent="0.25">
      <c r="B426" s="123" t="str">
        <f ca="1">IFERROR(__xludf.DUMMYFUNCTION("""COMPUTED_VALUE"""),"Круг")</f>
        <v>Круг</v>
      </c>
      <c r="C426" s="133" t="str">
        <f ca="1">IFERROR(__xludf.DUMMYFUNCTION("""COMPUTED_VALUE"""),"12х18н10т-ВД")</f>
        <v>12х18н10т-ВД</v>
      </c>
      <c r="D426" s="124">
        <f ca="1">IFERROR(__xludf.DUMMYFUNCTION("""COMPUTED_VALUE"""),34)</f>
        <v>34</v>
      </c>
      <c r="E426" s="124"/>
      <c r="F426" s="112" t="str">
        <f ca="1">IFERROR(__xludf.DUMMYFUNCTION("""COMPUTED_VALUE"""),"УЗК,  АТП  ТУ 14-1-3581")</f>
        <v>УЗК,  АТП  ТУ 14-1-3581</v>
      </c>
      <c r="G426" s="125">
        <f ca="1">IFERROR(__xludf.DUMMYFUNCTION("""COMPUTED_VALUE"""),0.009)</f>
        <v>8.9999999999999993E-3</v>
      </c>
      <c r="H426" s="125"/>
      <c r="I426" s="131">
        <f ca="1">IFERROR(__xludf.DUMMYFUNCTION("""COMPUTED_VALUE"""),950000)</f>
        <v>950000</v>
      </c>
    </row>
    <row r="427" spans="2:9" ht="15.75" x14ac:dyDescent="0.25">
      <c r="B427" s="123" t="str">
        <f ca="1">IFERROR(__xludf.DUMMYFUNCTION("""COMPUTED_VALUE"""),"Круг")</f>
        <v>Круг</v>
      </c>
      <c r="C427" s="133" t="str">
        <f ca="1">IFERROR(__xludf.DUMMYFUNCTION("""COMPUTED_VALUE"""),"12х18н10т-ВД")</f>
        <v>12х18н10т-ВД</v>
      </c>
      <c r="D427" s="124">
        <f ca="1">IFERROR(__xludf.DUMMYFUNCTION("""COMPUTED_VALUE"""),40)</f>
        <v>40</v>
      </c>
      <c r="E427" s="124"/>
      <c r="F427" s="112" t="str">
        <f ca="1">IFERROR(__xludf.DUMMYFUNCTION("""COMPUTED_VALUE"""),"УЗК,  АТП  ТУ 14-1-3581")</f>
        <v>УЗК,  АТП  ТУ 14-1-3581</v>
      </c>
      <c r="G427" s="125">
        <f ca="1">IFERROR(__xludf.DUMMYFUNCTION("""COMPUTED_VALUE"""),0.093)</f>
        <v>9.2999999999999999E-2</v>
      </c>
      <c r="H427" s="125"/>
      <c r="I427" s="131">
        <f ca="1">IFERROR(__xludf.DUMMYFUNCTION("""COMPUTED_VALUE"""),950000)</f>
        <v>950000</v>
      </c>
    </row>
    <row r="428" spans="2:9" ht="15.75" x14ac:dyDescent="0.25">
      <c r="B428" s="123" t="str">
        <f ca="1">IFERROR(__xludf.DUMMYFUNCTION("""COMPUTED_VALUE"""),"Круг")</f>
        <v>Круг</v>
      </c>
      <c r="C428" s="133" t="str">
        <f ca="1">IFERROR(__xludf.DUMMYFUNCTION("""COMPUTED_VALUE"""),"12х18н10т-ВД")</f>
        <v>12х18н10т-ВД</v>
      </c>
      <c r="D428" s="124">
        <f ca="1">IFERROR(__xludf.DUMMYFUNCTION("""COMPUTED_VALUE"""),50)</f>
        <v>50</v>
      </c>
      <c r="E428" s="124"/>
      <c r="F428" s="112" t="str">
        <f ca="1">IFERROR(__xludf.DUMMYFUNCTION("""COMPUTED_VALUE"""),"УЗК,  АТП  ТУ 14-1-3581")</f>
        <v>УЗК,  АТП  ТУ 14-1-3581</v>
      </c>
      <c r="G428" s="125">
        <f ca="1">IFERROR(__xludf.DUMMYFUNCTION("""COMPUTED_VALUE"""),0.156)</f>
        <v>0.156</v>
      </c>
      <c r="H428" s="125"/>
      <c r="I428" s="131">
        <f ca="1">IFERROR(__xludf.DUMMYFUNCTION("""COMPUTED_VALUE"""),950000)</f>
        <v>950000</v>
      </c>
    </row>
    <row r="429" spans="2:9" ht="15.75" x14ac:dyDescent="0.25">
      <c r="B429" s="123" t="str">
        <f ca="1">IFERROR(__xludf.DUMMYFUNCTION("""COMPUTED_VALUE"""),"Круг")</f>
        <v>Круг</v>
      </c>
      <c r="C429" s="133" t="str">
        <f ca="1">IFERROR(__xludf.DUMMYFUNCTION("""COMPUTED_VALUE"""),"12х18н10т-ВД")</f>
        <v>12х18н10т-ВД</v>
      </c>
      <c r="D429" s="124">
        <f ca="1">IFERROR(__xludf.DUMMYFUNCTION("""COMPUTED_VALUE"""),56)</f>
        <v>56</v>
      </c>
      <c r="E429" s="124"/>
      <c r="F429" s="112" t="str">
        <f ca="1">IFERROR(__xludf.DUMMYFUNCTION("""COMPUTED_VALUE"""),"УЗК,  АТП  ТУ 14-1-3581")</f>
        <v>УЗК,  АТП  ТУ 14-1-3581</v>
      </c>
      <c r="G429" s="125">
        <f ca="1">IFERROR(__xludf.DUMMYFUNCTION("""COMPUTED_VALUE"""),0.143)</f>
        <v>0.14299999999999999</v>
      </c>
      <c r="H429" s="125"/>
      <c r="I429" s="131">
        <f ca="1">IFERROR(__xludf.DUMMYFUNCTION("""COMPUTED_VALUE"""),950000)</f>
        <v>950000</v>
      </c>
    </row>
    <row r="430" spans="2:9" ht="15.75" x14ac:dyDescent="0.25">
      <c r="B430" s="123" t="str">
        <f ca="1">IFERROR(__xludf.DUMMYFUNCTION("""COMPUTED_VALUE"""),"Круг")</f>
        <v>Круг</v>
      </c>
      <c r="C430" s="133" t="str">
        <f ca="1">IFERROR(__xludf.DUMMYFUNCTION("""COMPUTED_VALUE"""),"12х18н10т-ВД")</f>
        <v>12х18н10т-ВД</v>
      </c>
      <c r="D430" s="124">
        <f ca="1">IFERROR(__xludf.DUMMYFUNCTION("""COMPUTED_VALUE"""),60)</f>
        <v>60</v>
      </c>
      <c r="E430" s="124"/>
      <c r="F430" s="112" t="str">
        <f ca="1">IFERROR(__xludf.DUMMYFUNCTION("""COMPUTED_VALUE"""),"УЗК,  АТП  ТУ 14-1-3581")</f>
        <v>УЗК,  АТП  ТУ 14-1-3581</v>
      </c>
      <c r="G430" s="125">
        <f ca="1">IFERROR(__xludf.DUMMYFUNCTION("""COMPUTED_VALUE"""),0.096)</f>
        <v>9.6000000000000002E-2</v>
      </c>
      <c r="H430" s="125"/>
      <c r="I430" s="131">
        <f ca="1">IFERROR(__xludf.DUMMYFUNCTION("""COMPUTED_VALUE"""),950000)</f>
        <v>950000</v>
      </c>
    </row>
    <row r="431" spans="2:9" ht="15.75" x14ac:dyDescent="0.25">
      <c r="B431" s="123" t="str">
        <f ca="1">IFERROR(__xludf.DUMMYFUNCTION("""COMPUTED_VALUE"""),"Круг")</f>
        <v>Круг</v>
      </c>
      <c r="C431" s="133" t="str">
        <f ca="1">IFERROR(__xludf.DUMMYFUNCTION("""COMPUTED_VALUE"""),"12х18н10т-ВД")</f>
        <v>12х18н10т-ВД</v>
      </c>
      <c r="D431" s="124">
        <f ca="1">IFERROR(__xludf.DUMMYFUNCTION("""COMPUTED_VALUE"""),80)</f>
        <v>80</v>
      </c>
      <c r="E431" s="124"/>
      <c r="F431" s="112" t="str">
        <f ca="1">IFERROR(__xludf.DUMMYFUNCTION("""COMPUTED_VALUE"""),"УЗК,  АТП  ТУ 14-1-3581")</f>
        <v>УЗК,  АТП  ТУ 14-1-3581</v>
      </c>
      <c r="G431" s="125">
        <f ca="1">IFERROR(__xludf.DUMMYFUNCTION("""COMPUTED_VALUE"""),0.436)</f>
        <v>0.436</v>
      </c>
      <c r="H431" s="125"/>
      <c r="I431" s="131">
        <f ca="1">IFERROR(__xludf.DUMMYFUNCTION("""COMPUTED_VALUE"""),950000)</f>
        <v>950000</v>
      </c>
    </row>
    <row r="432" spans="2:9" ht="15.75" x14ac:dyDescent="0.25">
      <c r="B432" s="123" t="str">
        <f ca="1">IFERROR(__xludf.DUMMYFUNCTION("""COMPUTED_VALUE"""),"Круг")</f>
        <v>Круг</v>
      </c>
      <c r="C432" s="133" t="str">
        <f ca="1">IFERROR(__xludf.DUMMYFUNCTION("""COMPUTED_VALUE"""),"12х18н10т-ВД")</f>
        <v>12х18н10т-ВД</v>
      </c>
      <c r="D432" s="124">
        <f ca="1">IFERROR(__xludf.DUMMYFUNCTION("""COMPUTED_VALUE"""),100)</f>
        <v>100</v>
      </c>
      <c r="E432" s="124"/>
      <c r="F432" s="112" t="str">
        <f ca="1">IFERROR(__xludf.DUMMYFUNCTION("""COMPUTED_VALUE"""),"УЗК,  АТП  ТУ 14-1-3581")</f>
        <v>УЗК,  АТП  ТУ 14-1-3581</v>
      </c>
      <c r="G432" s="125">
        <f ca="1">IFERROR(__xludf.DUMMYFUNCTION("""COMPUTED_VALUE"""),0.31)</f>
        <v>0.31</v>
      </c>
      <c r="H432" s="125"/>
      <c r="I432" s="131">
        <f ca="1">IFERROR(__xludf.DUMMYFUNCTION("""COMPUTED_VALUE"""),950000)</f>
        <v>950000</v>
      </c>
    </row>
    <row r="433" spans="2:9" ht="15.75" x14ac:dyDescent="0.25">
      <c r="B433" s="123" t="str">
        <f ca="1">IFERROR(__xludf.DUMMYFUNCTION("""COMPUTED_VALUE"""),"Круг")</f>
        <v>Круг</v>
      </c>
      <c r="C433" s="133" t="str">
        <f ca="1">IFERROR(__xludf.DUMMYFUNCTION("""COMPUTED_VALUE"""),"12х18н10т-ВД")</f>
        <v>12х18н10т-ВД</v>
      </c>
      <c r="D433" s="124">
        <f ca="1">IFERROR(__xludf.DUMMYFUNCTION("""COMPUTED_VALUE"""),10)</f>
        <v>10</v>
      </c>
      <c r="E433" s="124"/>
      <c r="F433" s="112" t="str">
        <f ca="1">IFERROR(__xludf.DUMMYFUNCTION("""COMPUTED_VALUE"""),"УЗК, МКК, АТП  ТУ 14-1-3581")</f>
        <v>УЗК, МКК, АТП  ТУ 14-1-3581</v>
      </c>
      <c r="G433" s="125">
        <f ca="1">IFERROR(__xludf.DUMMYFUNCTION("""COMPUTED_VALUE"""),0.124)</f>
        <v>0.124</v>
      </c>
      <c r="H433" s="125"/>
      <c r="I433" s="131">
        <f ca="1">IFERROR(__xludf.DUMMYFUNCTION("""COMPUTED_VALUE"""),1780000)</f>
        <v>1780000</v>
      </c>
    </row>
    <row r="434" spans="2:9" ht="15.75" x14ac:dyDescent="0.25">
      <c r="B434" s="123" t="str">
        <f ca="1">IFERROR(__xludf.DUMMYFUNCTION("""COMPUTED_VALUE"""),"Круг")</f>
        <v>Круг</v>
      </c>
      <c r="C434" s="133" t="str">
        <f ca="1">IFERROR(__xludf.DUMMYFUNCTION("""COMPUTED_VALUE"""),"12х18н10т-ВД")</f>
        <v>12х18н10т-ВД</v>
      </c>
      <c r="D434" s="124">
        <f ca="1">IFERROR(__xludf.DUMMYFUNCTION("""COMPUTED_VALUE"""),10)</f>
        <v>10</v>
      </c>
      <c r="E434" s="124"/>
      <c r="F434" s="112" t="str">
        <f ca="1">IFERROR(__xludf.DUMMYFUNCTION("""COMPUTED_VALUE"""),"УЗК,  АТП  ТУ 14-1-3581")</f>
        <v>УЗК,  АТП  ТУ 14-1-3581</v>
      </c>
      <c r="G434" s="125">
        <f ca="1">IFERROR(__xludf.DUMMYFUNCTION("""COMPUTED_VALUE"""),0.08)</f>
        <v>0.08</v>
      </c>
      <c r="H434" s="125"/>
      <c r="I434" s="131">
        <f ca="1">IFERROR(__xludf.DUMMYFUNCTION("""COMPUTED_VALUE"""),1800000)</f>
        <v>1800000</v>
      </c>
    </row>
    <row r="435" spans="2:9" ht="15.75" x14ac:dyDescent="0.25">
      <c r="B435" s="123" t="str">
        <f ca="1">IFERROR(__xludf.DUMMYFUNCTION("""COMPUTED_VALUE"""),"Круг")</f>
        <v>Круг</v>
      </c>
      <c r="C435" s="133" t="str">
        <f ca="1">IFERROR(__xludf.DUMMYFUNCTION("""COMPUTED_VALUE"""),"12х18н10т-ВД")</f>
        <v>12х18н10т-ВД</v>
      </c>
      <c r="D435" s="124">
        <f ca="1">IFERROR(__xludf.DUMMYFUNCTION("""COMPUTED_VALUE"""),10)</f>
        <v>10</v>
      </c>
      <c r="E435" s="124"/>
      <c r="F435" s="112" t="str">
        <f ca="1">IFERROR(__xludf.DUMMYFUNCTION("""COMPUTED_VALUE"""),"УЗК,  АТП  ТУ 14-1-3581")</f>
        <v>УЗК,  АТП  ТУ 14-1-3581</v>
      </c>
      <c r="G435" s="125">
        <f ca="1">IFERROR(__xludf.DUMMYFUNCTION("""COMPUTED_VALUE"""),0.344)</f>
        <v>0.34399999999999997</v>
      </c>
      <c r="H435" s="125"/>
      <c r="I435" s="131">
        <f ca="1">IFERROR(__xludf.DUMMYFUNCTION("""COMPUTED_VALUE"""),1800000)</f>
        <v>1800000</v>
      </c>
    </row>
    <row r="436" spans="2:9" ht="15.75" x14ac:dyDescent="0.25">
      <c r="B436" s="123" t="str">
        <f ca="1">IFERROR(__xludf.DUMMYFUNCTION("""COMPUTED_VALUE"""),"Круг")</f>
        <v>Круг</v>
      </c>
      <c r="C436" s="133" t="str">
        <f ca="1">IFERROR(__xludf.DUMMYFUNCTION("""COMPUTED_VALUE"""),"12х18н10т-ВД")</f>
        <v>12х18н10т-ВД</v>
      </c>
      <c r="D436" s="124">
        <f ca="1">IFERROR(__xludf.DUMMYFUNCTION("""COMPUTED_VALUE"""),12)</f>
        <v>12</v>
      </c>
      <c r="E436" s="124"/>
      <c r="F436" s="112" t="str">
        <f ca="1">IFERROR(__xludf.DUMMYFUNCTION("""COMPUTED_VALUE"""),"УЗК, МКК, АТП  ТУ 14-1-377")</f>
        <v>УЗК, МКК, АТП  ТУ 14-1-377</v>
      </c>
      <c r="G436" s="125">
        <f ca="1">IFERROR(__xludf.DUMMYFUNCTION("""COMPUTED_VALUE"""),0.025)</f>
        <v>2.5000000000000001E-2</v>
      </c>
      <c r="H436" s="125"/>
      <c r="I436" s="131">
        <f ca="1">IFERROR(__xludf.DUMMYFUNCTION("""COMPUTED_VALUE"""),1600000)</f>
        <v>1600000</v>
      </c>
    </row>
    <row r="437" spans="2:9" ht="15.75" x14ac:dyDescent="0.25">
      <c r="B437" s="123" t="str">
        <f ca="1">IFERROR(__xludf.DUMMYFUNCTION("""COMPUTED_VALUE"""),"Круг")</f>
        <v>Круг</v>
      </c>
      <c r="C437" s="133" t="str">
        <f ca="1">IFERROR(__xludf.DUMMYFUNCTION("""COMPUTED_VALUE"""),"12х18н10т-ВД")</f>
        <v>12х18н10т-ВД</v>
      </c>
      <c r="D437" s="124">
        <f ca="1">IFERROR(__xludf.DUMMYFUNCTION("""COMPUTED_VALUE"""),14)</f>
        <v>14</v>
      </c>
      <c r="E437" s="124"/>
      <c r="F437" s="112" t="str">
        <f ca="1">IFERROR(__xludf.DUMMYFUNCTION("""COMPUTED_VALUE"""),"ту 14-1-3581 РТ")</f>
        <v>ту 14-1-3581 РТ</v>
      </c>
      <c r="G437" s="125">
        <f ca="1">IFERROR(__xludf.DUMMYFUNCTION("""COMPUTED_VALUE"""),0.093)</f>
        <v>9.2999999999999999E-2</v>
      </c>
      <c r="H437" s="125"/>
      <c r="I437" s="131">
        <f ca="1">IFERROR(__xludf.DUMMYFUNCTION("""COMPUTED_VALUE"""),1650000)</f>
        <v>1650000</v>
      </c>
    </row>
    <row r="438" spans="2:9" ht="15.75" x14ac:dyDescent="0.25">
      <c r="B438" s="123" t="str">
        <f ca="1">IFERROR(__xludf.DUMMYFUNCTION("""COMPUTED_VALUE"""),"Круг")</f>
        <v>Круг</v>
      </c>
      <c r="C438" s="133" t="str">
        <f ca="1">IFERROR(__xludf.DUMMYFUNCTION("""COMPUTED_VALUE"""),"12х18н10т-ВД")</f>
        <v>12х18н10т-ВД</v>
      </c>
      <c r="D438" s="124">
        <f ca="1">IFERROR(__xludf.DUMMYFUNCTION("""COMPUTED_VALUE"""),15)</f>
        <v>15</v>
      </c>
      <c r="E438" s="124"/>
      <c r="F438" s="112" t="str">
        <f ca="1">IFERROR(__xludf.DUMMYFUNCTION("""COMPUTED_VALUE"""),"УЗК, МКК, АТП  ТУ 14-1-3581")</f>
        <v>УЗК, МКК, АТП  ТУ 14-1-3581</v>
      </c>
      <c r="G438" s="125">
        <f ca="1">IFERROR(__xludf.DUMMYFUNCTION("""COMPUTED_VALUE"""),0.062)</f>
        <v>6.2E-2</v>
      </c>
      <c r="H438" s="125"/>
      <c r="I438" s="131">
        <f ca="1">IFERROR(__xludf.DUMMYFUNCTION("""COMPUTED_VALUE"""),1800000)</f>
        <v>1800000</v>
      </c>
    </row>
    <row r="439" spans="2:9" ht="15.75" x14ac:dyDescent="0.25">
      <c r="B439" s="123" t="str">
        <f ca="1">IFERROR(__xludf.DUMMYFUNCTION("""COMPUTED_VALUE"""),"Круг")</f>
        <v>Круг</v>
      </c>
      <c r="C439" s="133" t="str">
        <f ca="1">IFERROR(__xludf.DUMMYFUNCTION("""COMPUTED_VALUE"""),"12х18н10т-ВД")</f>
        <v>12х18н10т-ВД</v>
      </c>
      <c r="D439" s="124">
        <f ca="1">IFERROR(__xludf.DUMMYFUNCTION("""COMPUTED_VALUE"""),20)</f>
        <v>20</v>
      </c>
      <c r="E439" s="124"/>
      <c r="F439" s="112" t="str">
        <f ca="1">IFERROR(__xludf.DUMMYFUNCTION("""COMPUTED_VALUE"""),"УЗК, МКК, АТП  ТУ 14-1-3581")</f>
        <v>УЗК, МКК, АТП  ТУ 14-1-3581</v>
      </c>
      <c r="G439" s="125">
        <f ca="1">IFERROR(__xludf.DUMMYFUNCTION("""COMPUTED_VALUE"""),0.0149999999999999)</f>
        <v>1.4999999999999901E-2</v>
      </c>
      <c r="H439" s="125"/>
      <c r="I439" s="131">
        <f ca="1">IFERROR(__xludf.DUMMYFUNCTION("""COMPUTED_VALUE"""),1800000)</f>
        <v>1800000</v>
      </c>
    </row>
    <row r="440" spans="2:9" ht="15.75" x14ac:dyDescent="0.25">
      <c r="B440" s="123" t="str">
        <f ca="1">IFERROR(__xludf.DUMMYFUNCTION("""COMPUTED_VALUE"""),"Круг")</f>
        <v>Круг</v>
      </c>
      <c r="C440" s="133" t="str">
        <f ca="1">IFERROR(__xludf.DUMMYFUNCTION("""COMPUTED_VALUE"""),"12х18н10т-ВД")</f>
        <v>12х18н10т-ВД</v>
      </c>
      <c r="D440" s="124">
        <f ca="1">IFERROR(__xludf.DUMMYFUNCTION("""COMPUTED_VALUE"""),25)</f>
        <v>25</v>
      </c>
      <c r="E440" s="124"/>
      <c r="F440" s="112" t="str">
        <f ca="1">IFERROR(__xludf.DUMMYFUNCTION("""COMPUTED_VALUE"""),"УЗК, МКК, АТП  ТУ 14-1-3581")</f>
        <v>УЗК, МКК, АТП  ТУ 14-1-3581</v>
      </c>
      <c r="G440" s="125">
        <f ca="1">IFERROR(__xludf.DUMMYFUNCTION("""COMPUTED_VALUE"""),0.118)</f>
        <v>0.11799999999999999</v>
      </c>
      <c r="H440" s="125"/>
      <c r="I440" s="131">
        <f ca="1">IFERROR(__xludf.DUMMYFUNCTION("""COMPUTED_VALUE"""),1800000)</f>
        <v>1800000</v>
      </c>
    </row>
    <row r="441" spans="2:9" ht="15.75" x14ac:dyDescent="0.25">
      <c r="B441" s="123" t="str">
        <f ca="1">IFERROR(__xludf.DUMMYFUNCTION("""COMPUTED_VALUE"""),"Круг")</f>
        <v>Круг</v>
      </c>
      <c r="C441" s="133" t="str">
        <f ca="1">IFERROR(__xludf.DUMMYFUNCTION("""COMPUTED_VALUE"""),"12х18н10т-ВД")</f>
        <v>12х18н10т-ВД</v>
      </c>
      <c r="D441" s="124">
        <f ca="1">IFERROR(__xludf.DUMMYFUNCTION("""COMPUTED_VALUE"""),25)</f>
        <v>25</v>
      </c>
      <c r="E441" s="124"/>
      <c r="F441" s="112" t="str">
        <f ca="1">IFERROR(__xludf.DUMMYFUNCTION("""COMPUTED_VALUE"""),"УЗК,  АТП  ТУ 14-1-3581")</f>
        <v>УЗК,  АТП  ТУ 14-1-3581</v>
      </c>
      <c r="G441" s="125">
        <f ca="1">IFERROR(__xludf.DUMMYFUNCTION("""COMPUTED_VALUE"""),0.123)</f>
        <v>0.123</v>
      </c>
      <c r="H441" s="125"/>
      <c r="I441" s="131">
        <f ca="1">IFERROR(__xludf.DUMMYFUNCTION("""COMPUTED_VALUE"""),1800000)</f>
        <v>1800000</v>
      </c>
    </row>
    <row r="442" spans="2:9" ht="15.75" x14ac:dyDescent="0.25">
      <c r="B442" s="123" t="str">
        <f ca="1">IFERROR(__xludf.DUMMYFUNCTION("""COMPUTED_VALUE"""),"Круг")</f>
        <v>Круг</v>
      </c>
      <c r="C442" s="133" t="str">
        <f ca="1">IFERROR(__xludf.DUMMYFUNCTION("""COMPUTED_VALUE"""),"12х18н10т-ВД")</f>
        <v>12х18н10т-ВД</v>
      </c>
      <c r="D442" s="124">
        <f ca="1">IFERROR(__xludf.DUMMYFUNCTION("""COMPUTED_VALUE"""),25)</f>
        <v>25</v>
      </c>
      <c r="E442" s="124"/>
      <c r="F442" s="112" t="str">
        <f ca="1">IFERROR(__xludf.DUMMYFUNCTION("""COMPUTED_VALUE"""),"УЗК,  АТП  ТУ 14-1-3581")</f>
        <v>УЗК,  АТП  ТУ 14-1-3581</v>
      </c>
      <c r="G442" s="125">
        <f ca="1">IFERROR(__xludf.DUMMYFUNCTION("""COMPUTED_VALUE"""),0.43)</f>
        <v>0.43</v>
      </c>
      <c r="H442" s="125"/>
      <c r="I442" s="131">
        <f ca="1">IFERROR(__xludf.DUMMYFUNCTION("""COMPUTED_VALUE"""),1800000)</f>
        <v>1800000</v>
      </c>
    </row>
    <row r="443" spans="2:9" ht="15.75" x14ac:dyDescent="0.25">
      <c r="B443" s="123" t="str">
        <f ca="1">IFERROR(__xludf.DUMMYFUNCTION("""COMPUTED_VALUE"""),"Круг")</f>
        <v>Круг</v>
      </c>
      <c r="C443" s="133" t="str">
        <f ca="1">IFERROR(__xludf.DUMMYFUNCTION("""COMPUTED_VALUE"""),"12х18н10т-ВД")</f>
        <v>12х18н10т-ВД</v>
      </c>
      <c r="D443" s="124">
        <f ca="1">IFERROR(__xludf.DUMMYFUNCTION("""COMPUTED_VALUE"""),25)</f>
        <v>25</v>
      </c>
      <c r="E443" s="124"/>
      <c r="F443" s="112" t="str">
        <f ca="1">IFERROR(__xludf.DUMMYFUNCTION("""COMPUTED_VALUE"""),"УЗК,  АТП  ТУ 14-1-3581")</f>
        <v>УЗК,  АТП  ТУ 14-1-3581</v>
      </c>
      <c r="G443" s="125">
        <f ca="1">IFERROR(__xludf.DUMMYFUNCTION("""COMPUTED_VALUE"""),0.288)</f>
        <v>0.28799999999999998</v>
      </c>
      <c r="H443" s="125"/>
      <c r="I443" s="131">
        <f ca="1">IFERROR(__xludf.DUMMYFUNCTION("""COMPUTED_VALUE"""),1800000)</f>
        <v>1800000</v>
      </c>
    </row>
    <row r="444" spans="2:9" ht="15.75" x14ac:dyDescent="0.25">
      <c r="B444" s="123" t="str">
        <f ca="1">IFERROR(__xludf.DUMMYFUNCTION("""COMPUTED_VALUE"""),"Круг")</f>
        <v>Круг</v>
      </c>
      <c r="C444" s="133" t="str">
        <f ca="1">IFERROR(__xludf.DUMMYFUNCTION("""COMPUTED_VALUE"""),"12х18н10т-ВД")</f>
        <v>12х18н10т-ВД</v>
      </c>
      <c r="D444" s="124">
        <f ca="1">IFERROR(__xludf.DUMMYFUNCTION("""COMPUTED_VALUE"""),26)</f>
        <v>26</v>
      </c>
      <c r="E444" s="124"/>
      <c r="F444" s="112" t="str">
        <f ca="1">IFERROR(__xludf.DUMMYFUNCTION("""COMPUTED_VALUE"""),"УЗК, МКК, АТП  ТУ 14-1-3581")</f>
        <v>УЗК, МКК, АТП  ТУ 14-1-3581</v>
      </c>
      <c r="G444" s="125">
        <f ca="1">IFERROR(__xludf.DUMMYFUNCTION("""COMPUTED_VALUE"""),0.008)</f>
        <v>8.0000000000000002E-3</v>
      </c>
      <c r="H444" s="125"/>
      <c r="I444" s="131">
        <f ca="1">IFERROR(__xludf.DUMMYFUNCTION("""COMPUTED_VALUE"""),1600000)</f>
        <v>1600000</v>
      </c>
    </row>
    <row r="445" spans="2:9" ht="15.75" x14ac:dyDescent="0.25">
      <c r="B445" s="123" t="str">
        <f ca="1">IFERROR(__xludf.DUMMYFUNCTION("""COMPUTED_VALUE"""),"Круг")</f>
        <v>Круг</v>
      </c>
      <c r="C445" s="133" t="str">
        <f ca="1">IFERROR(__xludf.DUMMYFUNCTION("""COMPUTED_VALUE"""),"12х18н10т-ВД")</f>
        <v>12х18н10т-ВД</v>
      </c>
      <c r="D445" s="124">
        <f ca="1">IFERROR(__xludf.DUMMYFUNCTION("""COMPUTED_VALUE"""),30)</f>
        <v>30</v>
      </c>
      <c r="E445" s="124"/>
      <c r="F445" s="112" t="str">
        <f ca="1">IFERROR(__xludf.DUMMYFUNCTION("""COMPUTED_VALUE"""),"УЗК,  АТП  ТУ 14-1-3581")</f>
        <v>УЗК,  АТП  ТУ 14-1-3581</v>
      </c>
      <c r="G445" s="125">
        <f ca="1">IFERROR(__xludf.DUMMYFUNCTION("""COMPUTED_VALUE"""),0.301999999999999)</f>
        <v>0.30199999999999899</v>
      </c>
      <c r="H445" s="125"/>
      <c r="I445" s="131">
        <f ca="1">IFERROR(__xludf.DUMMYFUNCTION("""COMPUTED_VALUE"""),1800000)</f>
        <v>1800000</v>
      </c>
    </row>
    <row r="446" spans="2:9" ht="15.75" x14ac:dyDescent="0.25">
      <c r="B446" s="123" t="str">
        <f ca="1">IFERROR(__xludf.DUMMYFUNCTION("""COMPUTED_VALUE"""),"Круг")</f>
        <v>Круг</v>
      </c>
      <c r="C446" s="133" t="str">
        <f ca="1">IFERROR(__xludf.DUMMYFUNCTION("""COMPUTED_VALUE"""),"12х18н10т-ВД")</f>
        <v>12х18н10т-ВД</v>
      </c>
      <c r="D446" s="124">
        <f ca="1">IFERROR(__xludf.DUMMYFUNCTION("""COMPUTED_VALUE"""),30)</f>
        <v>30</v>
      </c>
      <c r="E446" s="124"/>
      <c r="F446" s="112" t="str">
        <f ca="1">IFERROR(__xludf.DUMMYFUNCTION("""COMPUTED_VALUE"""),"УЗК,  АТП  ТУ 14-1-3581 , 2ГП, обточ.")</f>
        <v>УЗК,  АТП  ТУ 14-1-3581 , 2ГП, обточ.</v>
      </c>
      <c r="G446" s="125">
        <f ca="1">IFERROR(__xludf.DUMMYFUNCTION("""COMPUTED_VALUE"""),0.0149999999999999)</f>
        <v>1.4999999999999901E-2</v>
      </c>
      <c r="H446" s="125"/>
      <c r="I446" s="131">
        <f ca="1">IFERROR(__xludf.DUMMYFUNCTION("""COMPUTED_VALUE"""),1800000)</f>
        <v>1800000</v>
      </c>
    </row>
    <row r="447" spans="2:9" ht="15.75" x14ac:dyDescent="0.25">
      <c r="B447" s="123" t="str">
        <f ca="1">IFERROR(__xludf.DUMMYFUNCTION("""COMPUTED_VALUE"""),"Круг")</f>
        <v>Круг</v>
      </c>
      <c r="C447" s="133" t="str">
        <f ca="1">IFERROR(__xludf.DUMMYFUNCTION("""COMPUTED_VALUE"""),"12х18н10т-ВД")</f>
        <v>12х18н10т-ВД</v>
      </c>
      <c r="D447" s="124">
        <f ca="1">IFERROR(__xludf.DUMMYFUNCTION("""COMPUTED_VALUE"""),30)</f>
        <v>30</v>
      </c>
      <c r="E447" s="124"/>
      <c r="F447" s="112" t="str">
        <f ca="1">IFERROR(__xludf.DUMMYFUNCTION("""COMPUTED_VALUE"""),"УЗК,  АТП  ТУ 14-1-3581 , 2ГП, обточ.")</f>
        <v>УЗК,  АТП  ТУ 14-1-3581 , 2ГП, обточ.</v>
      </c>
      <c r="G447" s="125">
        <f ca="1">IFERROR(__xludf.DUMMYFUNCTION("""COMPUTED_VALUE"""),0.069)</f>
        <v>6.9000000000000006E-2</v>
      </c>
      <c r="H447" s="125"/>
      <c r="I447" s="131">
        <f ca="1">IFERROR(__xludf.DUMMYFUNCTION("""COMPUTED_VALUE"""),1800000)</f>
        <v>1800000</v>
      </c>
    </row>
    <row r="448" spans="2:9" ht="15.75" x14ac:dyDescent="0.25">
      <c r="B448" s="123" t="str">
        <f ca="1">IFERROR(__xludf.DUMMYFUNCTION("""COMPUTED_VALUE"""),"Круг")</f>
        <v>Круг</v>
      </c>
      <c r="C448" s="133" t="str">
        <f ca="1">IFERROR(__xludf.DUMMYFUNCTION("""COMPUTED_VALUE"""),"12х18н10т-ВД")</f>
        <v>12х18н10т-ВД</v>
      </c>
      <c r="D448" s="124">
        <f ca="1">IFERROR(__xludf.DUMMYFUNCTION("""COMPUTED_VALUE"""),30)</f>
        <v>30</v>
      </c>
      <c r="E448" s="124"/>
      <c r="F448" s="112" t="str">
        <f ca="1">IFERROR(__xludf.DUMMYFUNCTION("""COMPUTED_VALUE"""),"УЗК,  АТП  ТУ 14-1-3581 , 2ГП, обточ.")</f>
        <v>УЗК,  АТП  ТУ 14-1-3581 , 2ГП, обточ.</v>
      </c>
      <c r="G448" s="125">
        <f ca="1">IFERROR(__xludf.DUMMYFUNCTION("""COMPUTED_VALUE"""),0.124)</f>
        <v>0.124</v>
      </c>
      <c r="H448" s="125"/>
      <c r="I448" s="131">
        <f ca="1">IFERROR(__xludf.DUMMYFUNCTION("""COMPUTED_VALUE"""),1800000)</f>
        <v>1800000</v>
      </c>
    </row>
    <row r="449" spans="2:9" ht="15.75" x14ac:dyDescent="0.25">
      <c r="B449" s="123" t="str">
        <f ca="1">IFERROR(__xludf.DUMMYFUNCTION("""COMPUTED_VALUE"""),"Круг")</f>
        <v>Круг</v>
      </c>
      <c r="C449" s="133" t="str">
        <f ca="1">IFERROR(__xludf.DUMMYFUNCTION("""COMPUTED_VALUE"""),"12х18н10т-ВД")</f>
        <v>12х18н10т-ВД</v>
      </c>
      <c r="D449" s="124">
        <f ca="1">IFERROR(__xludf.DUMMYFUNCTION("""COMPUTED_VALUE"""),30)</f>
        <v>30</v>
      </c>
      <c r="E449" s="124"/>
      <c r="F449" s="112" t="str">
        <f ca="1">IFERROR(__xludf.DUMMYFUNCTION("""COMPUTED_VALUE"""),"УЗК,  АТП  ТУ 14-1-3581 , 2ГП, обточ.")</f>
        <v>УЗК,  АТП  ТУ 14-1-3581 , 2ГП, обточ.</v>
      </c>
      <c r="G449" s="125">
        <f ca="1">IFERROR(__xludf.DUMMYFUNCTION("""COMPUTED_VALUE"""),0.187)</f>
        <v>0.187</v>
      </c>
      <c r="H449" s="125"/>
      <c r="I449" s="131">
        <f ca="1">IFERROR(__xludf.DUMMYFUNCTION("""COMPUTED_VALUE"""),1800000)</f>
        <v>1800000</v>
      </c>
    </row>
    <row r="450" spans="2:9" ht="15.75" x14ac:dyDescent="0.25">
      <c r="B450" s="123" t="str">
        <f ca="1">IFERROR(__xludf.DUMMYFUNCTION("""COMPUTED_VALUE"""),"Круг")</f>
        <v>Круг</v>
      </c>
      <c r="C450" s="133" t="str">
        <f ca="1">IFERROR(__xludf.DUMMYFUNCTION("""COMPUTED_VALUE"""),"12х18н10т-ВД")</f>
        <v>12х18н10т-ВД</v>
      </c>
      <c r="D450" s="124">
        <f ca="1">IFERROR(__xludf.DUMMYFUNCTION("""COMPUTED_VALUE"""),30)</f>
        <v>30</v>
      </c>
      <c r="E450" s="124"/>
      <c r="F450" s="112" t="str">
        <f ca="1">IFERROR(__xludf.DUMMYFUNCTION("""COMPUTED_VALUE"""),"УЗК,  АТП  ТУ 14-1-3581 , 2ГП, обточ.")</f>
        <v>УЗК,  АТП  ТУ 14-1-3581 , 2ГП, обточ.</v>
      </c>
      <c r="G450" s="125">
        <f ca="1">IFERROR(__xludf.DUMMYFUNCTION("""COMPUTED_VALUE"""),0.194)</f>
        <v>0.19400000000000001</v>
      </c>
      <c r="H450" s="125"/>
      <c r="I450" s="131">
        <f ca="1">IFERROR(__xludf.DUMMYFUNCTION("""COMPUTED_VALUE"""),1800000)</f>
        <v>1800000</v>
      </c>
    </row>
    <row r="451" spans="2:9" ht="15.75" x14ac:dyDescent="0.25">
      <c r="B451" s="123" t="str">
        <f ca="1">IFERROR(__xludf.DUMMYFUNCTION("""COMPUTED_VALUE"""),"Круг")</f>
        <v>Круг</v>
      </c>
      <c r="C451" s="133" t="str">
        <f ca="1">IFERROR(__xludf.DUMMYFUNCTION("""COMPUTED_VALUE"""),"12х18н10т-ВД")</f>
        <v>12х18н10т-ВД</v>
      </c>
      <c r="D451" s="124">
        <f ca="1">IFERROR(__xludf.DUMMYFUNCTION("""COMPUTED_VALUE"""),30)</f>
        <v>30</v>
      </c>
      <c r="E451" s="124"/>
      <c r="F451" s="112" t="str">
        <f ca="1">IFERROR(__xludf.DUMMYFUNCTION("""COMPUTED_VALUE"""),"УЗК,  АТП  ТУ 14-1-3581 , 2ГП, обточ.")</f>
        <v>УЗК,  АТП  ТУ 14-1-3581 , 2ГП, обточ.</v>
      </c>
      <c r="G451" s="125">
        <f ca="1">IFERROR(__xludf.DUMMYFUNCTION("""COMPUTED_VALUE"""),0.203)</f>
        <v>0.20300000000000001</v>
      </c>
      <c r="H451" s="125"/>
      <c r="I451" s="131">
        <f ca="1">IFERROR(__xludf.DUMMYFUNCTION("""COMPUTED_VALUE"""),1800000)</f>
        <v>1800000</v>
      </c>
    </row>
    <row r="452" spans="2:9" ht="15.75" x14ac:dyDescent="0.25">
      <c r="B452" s="123" t="str">
        <f ca="1">IFERROR(__xludf.DUMMYFUNCTION("""COMPUTED_VALUE"""),"Круг")</f>
        <v>Круг</v>
      </c>
      <c r="C452" s="133" t="str">
        <f ca="1">IFERROR(__xludf.DUMMYFUNCTION("""COMPUTED_VALUE"""),"12х18н10т-ВД")</f>
        <v>12х18н10т-ВД</v>
      </c>
      <c r="D452" s="124">
        <f ca="1">IFERROR(__xludf.DUMMYFUNCTION("""COMPUTED_VALUE"""),30)</f>
        <v>30</v>
      </c>
      <c r="E452" s="124"/>
      <c r="F452" s="112" t="str">
        <f ca="1">IFERROR(__xludf.DUMMYFUNCTION("""COMPUTED_VALUE"""),"УЗК,  АТП  ТУ 14-1-3581 , 2ГП, обточ.")</f>
        <v>УЗК,  АТП  ТУ 14-1-3581 , 2ГП, обточ.</v>
      </c>
      <c r="G452" s="125">
        <f ca="1">IFERROR(__xludf.DUMMYFUNCTION("""COMPUTED_VALUE"""),0.383)</f>
        <v>0.38300000000000001</v>
      </c>
      <c r="H452" s="125"/>
      <c r="I452" s="131">
        <f ca="1">IFERROR(__xludf.DUMMYFUNCTION("""COMPUTED_VALUE"""),1800000)</f>
        <v>1800000</v>
      </c>
    </row>
    <row r="453" spans="2:9" ht="15.75" x14ac:dyDescent="0.25">
      <c r="B453" s="123" t="str">
        <f ca="1">IFERROR(__xludf.DUMMYFUNCTION("""COMPUTED_VALUE"""),"Круг")</f>
        <v>Круг</v>
      </c>
      <c r="C453" s="133" t="str">
        <f ca="1">IFERROR(__xludf.DUMMYFUNCTION("""COMPUTED_VALUE"""),"12х18н10т-ВД")</f>
        <v>12х18н10т-ВД</v>
      </c>
      <c r="D453" s="124">
        <f ca="1">IFERROR(__xludf.DUMMYFUNCTION("""COMPUTED_VALUE"""),36)</f>
        <v>36</v>
      </c>
      <c r="E453" s="124"/>
      <c r="F453" s="112" t="str">
        <f ca="1">IFERROR(__xludf.DUMMYFUNCTION("""COMPUTED_VALUE"""),"УЗК,  АТП  ТУ 14-1-3581 , 2ГП, обточ.")</f>
        <v>УЗК,  АТП  ТУ 14-1-3581 , 2ГП, обточ.</v>
      </c>
      <c r="G453" s="125">
        <f ca="1">IFERROR(__xludf.DUMMYFUNCTION("""COMPUTED_VALUE"""),0.175)</f>
        <v>0.17499999999999999</v>
      </c>
      <c r="H453" s="125"/>
      <c r="I453" s="131">
        <f ca="1">IFERROR(__xludf.DUMMYFUNCTION("""COMPUTED_VALUE"""),1600000)</f>
        <v>1600000</v>
      </c>
    </row>
    <row r="454" spans="2:9" ht="15.75" x14ac:dyDescent="0.25">
      <c r="B454" s="123" t="str">
        <f ca="1">IFERROR(__xludf.DUMMYFUNCTION("""COMPUTED_VALUE"""),"Круг")</f>
        <v>Круг</v>
      </c>
      <c r="C454" s="133" t="str">
        <f ca="1">IFERROR(__xludf.DUMMYFUNCTION("""COMPUTED_VALUE"""),"12х18н10т-ВД")</f>
        <v>12х18н10т-ВД</v>
      </c>
      <c r="D454" s="124">
        <f ca="1">IFERROR(__xludf.DUMMYFUNCTION("""COMPUTED_VALUE"""),36)</f>
        <v>36</v>
      </c>
      <c r="E454" s="124"/>
      <c r="F454" s="112" t="str">
        <f ca="1">IFERROR(__xludf.DUMMYFUNCTION("""COMPUTED_VALUE"""),"УЗК,  АТП  ТУ 14-1-3581 , 2ГП, обточ.")</f>
        <v>УЗК,  АТП  ТУ 14-1-3581 , 2ГП, обточ.</v>
      </c>
      <c r="G454" s="125">
        <f ca="1">IFERROR(__xludf.DUMMYFUNCTION("""COMPUTED_VALUE"""),0.02)</f>
        <v>0.02</v>
      </c>
      <c r="H454" s="125"/>
      <c r="I454" s="131">
        <f ca="1">IFERROR(__xludf.DUMMYFUNCTION("""COMPUTED_VALUE"""),1600000)</f>
        <v>1600000</v>
      </c>
    </row>
    <row r="455" spans="2:9" ht="15.75" x14ac:dyDescent="0.25">
      <c r="B455" s="123" t="str">
        <f ca="1">IFERROR(__xludf.DUMMYFUNCTION("""COMPUTED_VALUE"""),"Круг")</f>
        <v>Круг</v>
      </c>
      <c r="C455" s="133" t="str">
        <f ca="1">IFERROR(__xludf.DUMMYFUNCTION("""COMPUTED_VALUE"""),"12х18н10т-ВД")</f>
        <v>12х18н10т-ВД</v>
      </c>
      <c r="D455" s="124">
        <f ca="1">IFERROR(__xludf.DUMMYFUNCTION("""COMPUTED_VALUE"""),36)</f>
        <v>36</v>
      </c>
      <c r="E455" s="124"/>
      <c r="F455" s="112" t="str">
        <f ca="1">IFERROR(__xludf.DUMMYFUNCTION("""COMPUTED_VALUE"""),"УЗК,  АТП  ТУ 14-1-3581 , 2ГП, обточ.")</f>
        <v>УЗК,  АТП  ТУ 14-1-3581 , 2ГП, обточ.</v>
      </c>
      <c r="G455" s="125">
        <f ca="1">IFERROR(__xludf.DUMMYFUNCTION("""COMPUTED_VALUE"""),0.136)</f>
        <v>0.13600000000000001</v>
      </c>
      <c r="H455" s="125"/>
      <c r="I455" s="131">
        <f ca="1">IFERROR(__xludf.DUMMYFUNCTION("""COMPUTED_VALUE"""),1600000)</f>
        <v>1600000</v>
      </c>
    </row>
    <row r="456" spans="2:9" ht="15.75" x14ac:dyDescent="0.25">
      <c r="B456" s="123" t="str">
        <f ca="1">IFERROR(__xludf.DUMMYFUNCTION("""COMPUTED_VALUE"""),"Круг")</f>
        <v>Круг</v>
      </c>
      <c r="C456" s="133" t="str">
        <f ca="1">IFERROR(__xludf.DUMMYFUNCTION("""COMPUTED_VALUE"""),"12х18н10т-ВД")</f>
        <v>12х18н10т-ВД</v>
      </c>
      <c r="D456" s="124">
        <f ca="1">IFERROR(__xludf.DUMMYFUNCTION("""COMPUTED_VALUE"""),36)</f>
        <v>36</v>
      </c>
      <c r="E456" s="124"/>
      <c r="F456" s="112" t="str">
        <f ca="1">IFERROR(__xludf.DUMMYFUNCTION("""COMPUTED_VALUE"""),"УЗК,  АТП  ТУ 14-1-3581 , 2ГП, обточ.")</f>
        <v>УЗК,  АТП  ТУ 14-1-3581 , 2ГП, обточ.</v>
      </c>
      <c r="G456" s="125">
        <f ca="1">IFERROR(__xludf.DUMMYFUNCTION("""COMPUTED_VALUE"""),0.253)</f>
        <v>0.253</v>
      </c>
      <c r="H456" s="125"/>
      <c r="I456" s="131">
        <f ca="1">IFERROR(__xludf.DUMMYFUNCTION("""COMPUTED_VALUE"""),1600000)</f>
        <v>1600000</v>
      </c>
    </row>
    <row r="457" spans="2:9" ht="15.75" x14ac:dyDescent="0.25">
      <c r="B457" s="123" t="str">
        <f ca="1">IFERROR(__xludf.DUMMYFUNCTION("""COMPUTED_VALUE"""),"Круг")</f>
        <v>Круг</v>
      </c>
      <c r="C457" s="133" t="str">
        <f ca="1">IFERROR(__xludf.DUMMYFUNCTION("""COMPUTED_VALUE"""),"12х18н10т-ВД")</f>
        <v>12х18н10т-ВД</v>
      </c>
      <c r="D457" s="124">
        <f ca="1">IFERROR(__xludf.DUMMYFUNCTION("""COMPUTED_VALUE"""),36)</f>
        <v>36</v>
      </c>
      <c r="E457" s="124"/>
      <c r="F457" s="112" t="str">
        <f ca="1">IFERROR(__xludf.DUMMYFUNCTION("""COMPUTED_VALUE"""),"УЗК,  АТП  ТУ 14-1-3581 , 2ГП, обточ.")</f>
        <v>УЗК,  АТП  ТУ 14-1-3581 , 2ГП, обточ.</v>
      </c>
      <c r="G457" s="125">
        <f ca="1">IFERROR(__xludf.DUMMYFUNCTION("""COMPUTED_VALUE"""),0.34)</f>
        <v>0.34</v>
      </c>
      <c r="H457" s="125"/>
      <c r="I457" s="131">
        <f ca="1">IFERROR(__xludf.DUMMYFUNCTION("""COMPUTED_VALUE"""),1600000)</f>
        <v>1600000</v>
      </c>
    </row>
    <row r="458" spans="2:9" ht="15.75" x14ac:dyDescent="0.25">
      <c r="B458" s="123" t="str">
        <f ca="1">IFERROR(__xludf.DUMMYFUNCTION("""COMPUTED_VALUE"""),"Круг")</f>
        <v>Круг</v>
      </c>
      <c r="C458" s="133" t="str">
        <f ca="1">IFERROR(__xludf.DUMMYFUNCTION("""COMPUTED_VALUE"""),"12х18н10т-ВД")</f>
        <v>12х18н10т-ВД</v>
      </c>
      <c r="D458" s="124">
        <f ca="1">IFERROR(__xludf.DUMMYFUNCTION("""COMPUTED_VALUE"""),40)</f>
        <v>40</v>
      </c>
      <c r="E458" s="124"/>
      <c r="F458" s="112" t="str">
        <f ca="1">IFERROR(__xludf.DUMMYFUNCTION("""COMPUTED_VALUE"""),"УЗК,  АТП  ТУ 14-1-3581 , 2ГП, обточ.")</f>
        <v>УЗК,  АТП  ТУ 14-1-3581 , 2ГП, обточ.</v>
      </c>
      <c r="G458" s="125">
        <f ca="1">IFERROR(__xludf.DUMMYFUNCTION("""COMPUTED_VALUE"""),0.21)</f>
        <v>0.21</v>
      </c>
      <c r="H458" s="125"/>
      <c r="I458" s="131">
        <f ca="1">IFERROR(__xludf.DUMMYFUNCTION("""COMPUTED_VALUE"""),1600000)</f>
        <v>1600000</v>
      </c>
    </row>
    <row r="459" spans="2:9" ht="15.75" x14ac:dyDescent="0.25">
      <c r="B459" s="123" t="str">
        <f ca="1">IFERROR(__xludf.DUMMYFUNCTION("""COMPUTED_VALUE"""),"Круг")</f>
        <v>Круг</v>
      </c>
      <c r="C459" s="133" t="str">
        <f ca="1">IFERROR(__xludf.DUMMYFUNCTION("""COMPUTED_VALUE"""),"12х18н10т-ВД")</f>
        <v>12х18н10т-ВД</v>
      </c>
      <c r="D459" s="124">
        <f ca="1">IFERROR(__xludf.DUMMYFUNCTION("""COMPUTED_VALUE"""),40)</f>
        <v>40</v>
      </c>
      <c r="E459" s="124"/>
      <c r="F459" s="112" t="str">
        <f ca="1">IFERROR(__xludf.DUMMYFUNCTION("""COMPUTED_VALUE"""),"УЗК,  АТП  ТУ 14-1-3581 , 2ГП, обточ.")</f>
        <v>УЗК,  АТП  ТУ 14-1-3581 , 2ГП, обточ.</v>
      </c>
      <c r="G459" s="125">
        <f ca="1">IFERROR(__xludf.DUMMYFUNCTION("""COMPUTED_VALUE"""),0.293)</f>
        <v>0.29299999999999998</v>
      </c>
      <c r="H459" s="125"/>
      <c r="I459" s="131">
        <f ca="1">IFERROR(__xludf.DUMMYFUNCTION("""COMPUTED_VALUE"""),1600000)</f>
        <v>1600000</v>
      </c>
    </row>
    <row r="460" spans="2:9" ht="15.75" x14ac:dyDescent="0.25">
      <c r="B460" s="123" t="str">
        <f ca="1">IFERROR(__xludf.DUMMYFUNCTION("""COMPUTED_VALUE"""),"Круг")</f>
        <v>Круг</v>
      </c>
      <c r="C460" s="133" t="str">
        <f ca="1">IFERROR(__xludf.DUMMYFUNCTION("""COMPUTED_VALUE"""),"12х18н10т-ВД")</f>
        <v>12х18н10т-ВД</v>
      </c>
      <c r="D460" s="124">
        <f ca="1">IFERROR(__xludf.DUMMYFUNCTION("""COMPUTED_VALUE"""),50)</f>
        <v>50</v>
      </c>
      <c r="E460" s="124"/>
      <c r="F460" s="112" t="str">
        <f ca="1">IFERROR(__xludf.DUMMYFUNCTION("""COMPUTED_VALUE"""),"УЗК,  АТП  ТУ 14-1-3581")</f>
        <v>УЗК,  АТП  ТУ 14-1-3581</v>
      </c>
      <c r="G460" s="125">
        <f ca="1">IFERROR(__xludf.DUMMYFUNCTION("""COMPUTED_VALUE"""),0.828)</f>
        <v>0.82799999999999996</v>
      </c>
      <c r="H460" s="125"/>
      <c r="I460" s="131">
        <f ca="1">IFERROR(__xludf.DUMMYFUNCTION("""COMPUTED_VALUE"""),1800000)</f>
        <v>1800000</v>
      </c>
    </row>
    <row r="461" spans="2:9" ht="15.75" x14ac:dyDescent="0.25">
      <c r="B461" s="123" t="str">
        <f ca="1">IFERROR(__xludf.DUMMYFUNCTION("""COMPUTED_VALUE"""),"Круг")</f>
        <v>Круг</v>
      </c>
      <c r="C461" s="133" t="str">
        <f ca="1">IFERROR(__xludf.DUMMYFUNCTION("""COMPUTED_VALUE"""),"12х18н10т-ВД")</f>
        <v>12х18н10т-ВД</v>
      </c>
      <c r="D461" s="124">
        <f ca="1">IFERROR(__xludf.DUMMYFUNCTION("""COMPUTED_VALUE"""),50)</f>
        <v>50</v>
      </c>
      <c r="E461" s="124"/>
      <c r="F461" s="112" t="str">
        <f ca="1">IFERROR(__xludf.DUMMYFUNCTION("""COMPUTED_VALUE"""),"УЗК,  АТП  ТУ 14-1-3581")</f>
        <v>УЗК,  АТП  ТУ 14-1-3581</v>
      </c>
      <c r="G461" s="125">
        <f ca="1">IFERROR(__xludf.DUMMYFUNCTION("""COMPUTED_VALUE"""),0.49)</f>
        <v>0.49</v>
      </c>
      <c r="H461" s="125"/>
      <c r="I461" s="131">
        <f ca="1">IFERROR(__xludf.DUMMYFUNCTION("""COMPUTED_VALUE"""),1800000)</f>
        <v>1800000</v>
      </c>
    </row>
    <row r="462" spans="2:9" ht="15.75" x14ac:dyDescent="0.25">
      <c r="B462" s="123" t="str">
        <f ca="1">IFERROR(__xludf.DUMMYFUNCTION("""COMPUTED_VALUE"""),"Круг")</f>
        <v>Круг</v>
      </c>
      <c r="C462" s="133" t="str">
        <f ca="1">IFERROR(__xludf.DUMMYFUNCTION("""COMPUTED_VALUE"""),"12х18н10т-ВД")</f>
        <v>12х18н10т-ВД</v>
      </c>
      <c r="D462" s="124">
        <f ca="1">IFERROR(__xludf.DUMMYFUNCTION("""COMPUTED_VALUE"""),50)</f>
        <v>50</v>
      </c>
      <c r="E462" s="124"/>
      <c r="F462" s="112" t="str">
        <f ca="1">IFERROR(__xludf.DUMMYFUNCTION("""COMPUTED_VALUE"""),"УЗК,  АТП  ТУ 14-1-3581 , 2ГП, обточ.")</f>
        <v>УЗК,  АТП  ТУ 14-1-3581 , 2ГП, обточ.</v>
      </c>
      <c r="G462" s="125">
        <f ca="1">IFERROR(__xludf.DUMMYFUNCTION("""COMPUTED_VALUE"""),0.541)</f>
        <v>0.54100000000000004</v>
      </c>
      <c r="H462" s="125"/>
      <c r="I462" s="131">
        <f ca="1">IFERROR(__xludf.DUMMYFUNCTION("""COMPUTED_VALUE"""),1800000)</f>
        <v>1800000</v>
      </c>
    </row>
    <row r="463" spans="2:9" ht="15.75" x14ac:dyDescent="0.25">
      <c r="B463" s="123" t="str">
        <f ca="1">IFERROR(__xludf.DUMMYFUNCTION("""COMPUTED_VALUE"""),"Круг")</f>
        <v>Круг</v>
      </c>
      <c r="C463" s="133" t="str">
        <f ca="1">IFERROR(__xludf.DUMMYFUNCTION("""COMPUTED_VALUE"""),"12х18н10т-ВД")</f>
        <v>12х18н10т-ВД</v>
      </c>
      <c r="D463" s="124">
        <f ca="1">IFERROR(__xludf.DUMMYFUNCTION("""COMPUTED_VALUE"""),50)</f>
        <v>50</v>
      </c>
      <c r="E463" s="124"/>
      <c r="F463" s="112" t="str">
        <f ca="1">IFERROR(__xludf.DUMMYFUNCTION("""COMPUTED_VALUE"""),"УЗК,  АТП  ТУ 14-1-3581 , 2ГП, обточ.")</f>
        <v>УЗК,  АТП  ТУ 14-1-3581 , 2ГП, обточ.</v>
      </c>
      <c r="G463" s="125">
        <f ca="1">IFERROR(__xludf.DUMMYFUNCTION("""COMPUTED_VALUE"""),0.562)</f>
        <v>0.56200000000000006</v>
      </c>
      <c r="H463" s="125"/>
      <c r="I463" s="131">
        <f ca="1">IFERROR(__xludf.DUMMYFUNCTION("""COMPUTED_VALUE"""),1800000)</f>
        <v>1800000</v>
      </c>
    </row>
    <row r="464" spans="2:9" ht="15.75" x14ac:dyDescent="0.25">
      <c r="B464" s="123" t="str">
        <f ca="1">IFERROR(__xludf.DUMMYFUNCTION("""COMPUTED_VALUE"""),"Круг")</f>
        <v>Круг</v>
      </c>
      <c r="C464" s="133" t="str">
        <f ca="1">IFERROR(__xludf.DUMMYFUNCTION("""COMPUTED_VALUE"""),"12х18н10т-ВД")</f>
        <v>12х18н10т-ВД</v>
      </c>
      <c r="D464" s="124">
        <f ca="1">IFERROR(__xludf.DUMMYFUNCTION("""COMPUTED_VALUE"""),56)</f>
        <v>56</v>
      </c>
      <c r="E464" s="124"/>
      <c r="F464" s="112" t="str">
        <f ca="1">IFERROR(__xludf.DUMMYFUNCTION("""COMPUTED_VALUE"""),"УЗК,  АТП  ТУ 14-1-3581")</f>
        <v>УЗК,  АТП  ТУ 14-1-3581</v>
      </c>
      <c r="G464" s="125">
        <f ca="1">IFERROR(__xludf.DUMMYFUNCTION("""COMPUTED_VALUE"""),0.200999999999999)</f>
        <v>0.20099999999999901</v>
      </c>
      <c r="H464" s="125"/>
      <c r="I464" s="131">
        <f ca="1">IFERROR(__xludf.DUMMYFUNCTION("""COMPUTED_VALUE"""),1800000)</f>
        <v>1800000</v>
      </c>
    </row>
    <row r="465" spans="2:9" ht="15.75" x14ac:dyDescent="0.25">
      <c r="B465" s="123" t="str">
        <f ca="1">IFERROR(__xludf.DUMMYFUNCTION("""COMPUTED_VALUE"""),"Круг")</f>
        <v>Круг</v>
      </c>
      <c r="C465" s="133" t="str">
        <f ca="1">IFERROR(__xludf.DUMMYFUNCTION("""COMPUTED_VALUE"""),"12х18н10т-ВД")</f>
        <v>12х18н10т-ВД</v>
      </c>
      <c r="D465" s="124">
        <f ca="1">IFERROR(__xludf.DUMMYFUNCTION("""COMPUTED_VALUE"""),56)</f>
        <v>56</v>
      </c>
      <c r="E465" s="124"/>
      <c r="F465" s="112" t="str">
        <f ca="1">IFERROR(__xludf.DUMMYFUNCTION("""COMPUTED_VALUE"""),"УЗК,  АТП  ТУ 14-1-3581 , 2ГП, обточ.")</f>
        <v>УЗК,  АТП  ТУ 14-1-3581 , 2ГП, обточ.</v>
      </c>
      <c r="G465" s="125">
        <f ca="1">IFERROR(__xludf.DUMMYFUNCTION("""COMPUTED_VALUE"""),0.305)</f>
        <v>0.30499999999999999</v>
      </c>
      <c r="H465" s="125"/>
      <c r="I465" s="131">
        <f ca="1">IFERROR(__xludf.DUMMYFUNCTION("""COMPUTED_VALUE"""),1800000)</f>
        <v>1800000</v>
      </c>
    </row>
    <row r="466" spans="2:9" ht="15.75" x14ac:dyDescent="0.25">
      <c r="B466" s="123" t="str">
        <f ca="1">IFERROR(__xludf.DUMMYFUNCTION("""COMPUTED_VALUE"""),"Круг")</f>
        <v>Круг</v>
      </c>
      <c r="C466" s="133" t="str">
        <f ca="1">IFERROR(__xludf.DUMMYFUNCTION("""COMPUTED_VALUE"""),"12х18н10т-ВД")</f>
        <v>12х18н10т-ВД</v>
      </c>
      <c r="D466" s="124">
        <f ca="1">IFERROR(__xludf.DUMMYFUNCTION("""COMPUTED_VALUE"""),56)</f>
        <v>56</v>
      </c>
      <c r="E466" s="124"/>
      <c r="F466" s="112" t="str">
        <f ca="1">IFERROR(__xludf.DUMMYFUNCTION("""COMPUTED_VALUE"""),"УЗК,  АТП  ТУ 14-1-3581 , 2ГП, обточ.")</f>
        <v>УЗК,  АТП  ТУ 14-1-3581 , 2ГП, обточ.</v>
      </c>
      <c r="G466" s="125">
        <f ca="1">IFERROR(__xludf.DUMMYFUNCTION("""COMPUTED_VALUE"""),0.765)</f>
        <v>0.76500000000000001</v>
      </c>
      <c r="H466" s="125"/>
      <c r="I466" s="131">
        <f ca="1">IFERROR(__xludf.DUMMYFUNCTION("""COMPUTED_VALUE"""),1800000)</f>
        <v>1800000</v>
      </c>
    </row>
    <row r="467" spans="2:9" ht="15.75" x14ac:dyDescent="0.25">
      <c r="B467" s="123" t="str">
        <f ca="1">IFERROR(__xludf.DUMMYFUNCTION("""COMPUTED_VALUE"""),"Круг")</f>
        <v>Круг</v>
      </c>
      <c r="C467" s="133" t="str">
        <f ca="1">IFERROR(__xludf.DUMMYFUNCTION("""COMPUTED_VALUE"""),"12х18н10т-ВД")</f>
        <v>12х18н10т-ВД</v>
      </c>
      <c r="D467" s="124">
        <f ca="1">IFERROR(__xludf.DUMMYFUNCTION("""COMPUTED_VALUE"""),60)</f>
        <v>60</v>
      </c>
      <c r="E467" s="124"/>
      <c r="F467" s="112" t="str">
        <f ca="1">IFERROR(__xludf.DUMMYFUNCTION("""COMPUTED_VALUE"""),"УЗК,  АТП  ТУ 14-1-3581")</f>
        <v>УЗК,  АТП  ТУ 14-1-3581</v>
      </c>
      <c r="G467" s="125">
        <f ca="1">IFERROR(__xludf.DUMMYFUNCTION("""COMPUTED_VALUE"""),0.598999999999999)</f>
        <v>0.59899999999999898</v>
      </c>
      <c r="H467" s="125"/>
      <c r="I467" s="131">
        <f ca="1">IFERROR(__xludf.DUMMYFUNCTION("""COMPUTED_VALUE"""),1800000)</f>
        <v>1800000</v>
      </c>
    </row>
    <row r="468" spans="2:9" ht="15.75" x14ac:dyDescent="0.25">
      <c r="B468" s="123" t="str">
        <f ca="1">IFERROR(__xludf.DUMMYFUNCTION("""COMPUTED_VALUE"""),"Круг")</f>
        <v>Круг</v>
      </c>
      <c r="C468" s="133" t="str">
        <f ca="1">IFERROR(__xludf.DUMMYFUNCTION("""COMPUTED_VALUE"""),"12х18н10т-ВД")</f>
        <v>12х18н10т-ВД</v>
      </c>
      <c r="D468" s="124">
        <f ca="1">IFERROR(__xludf.DUMMYFUNCTION("""COMPUTED_VALUE"""),65)</f>
        <v>65</v>
      </c>
      <c r="E468" s="124"/>
      <c r="F468" s="112" t="str">
        <f ca="1">IFERROR(__xludf.DUMMYFUNCTION("""COMPUTED_VALUE"""),"УЗК,  АТП  ТУ 14-1-3581")</f>
        <v>УЗК,  АТП  ТУ 14-1-3581</v>
      </c>
      <c r="G468" s="125">
        <f ca="1">IFERROR(__xludf.DUMMYFUNCTION("""COMPUTED_VALUE"""),1.27599999999999)</f>
        <v>1.27599999999999</v>
      </c>
      <c r="H468" s="125"/>
      <c r="I468" s="131">
        <f ca="1">IFERROR(__xludf.DUMMYFUNCTION("""COMPUTED_VALUE"""),1800000)</f>
        <v>1800000</v>
      </c>
    </row>
    <row r="469" spans="2:9" ht="15.75" x14ac:dyDescent="0.25">
      <c r="B469" s="123" t="str">
        <f ca="1">IFERROR(__xludf.DUMMYFUNCTION("""COMPUTED_VALUE"""),"Круг")</f>
        <v>Круг</v>
      </c>
      <c r="C469" s="133" t="str">
        <f ca="1">IFERROR(__xludf.DUMMYFUNCTION("""COMPUTED_VALUE"""),"12х18н10т-ВД")</f>
        <v>12х18н10т-ВД</v>
      </c>
      <c r="D469" s="124">
        <f ca="1">IFERROR(__xludf.DUMMYFUNCTION("""COMPUTED_VALUE"""),70)</f>
        <v>70</v>
      </c>
      <c r="E469" s="124"/>
      <c r="F469" s="112" t="str">
        <f ca="1">IFERROR(__xludf.DUMMYFUNCTION("""COMPUTED_VALUE"""),"УЗК,  АТП  ТУ 14-1-3581")</f>
        <v>УЗК,  АТП  ТУ 14-1-3581</v>
      </c>
      <c r="G469" s="125">
        <f ca="1">IFERROR(__xludf.DUMMYFUNCTION("""COMPUTED_VALUE"""),0.451)</f>
        <v>0.45100000000000001</v>
      </c>
      <c r="H469" s="125"/>
      <c r="I469" s="131">
        <f ca="1">IFERROR(__xludf.DUMMYFUNCTION("""COMPUTED_VALUE"""),1800000)</f>
        <v>1800000</v>
      </c>
    </row>
    <row r="470" spans="2:9" ht="15.75" x14ac:dyDescent="0.25">
      <c r="B470" s="123" t="str">
        <f ca="1">IFERROR(__xludf.DUMMYFUNCTION("""COMPUTED_VALUE"""),"Круг")</f>
        <v>Круг</v>
      </c>
      <c r="C470" s="133" t="str">
        <f ca="1">IFERROR(__xludf.DUMMYFUNCTION("""COMPUTED_VALUE"""),"12х18н10т-ВД")</f>
        <v>12х18н10т-ВД</v>
      </c>
      <c r="D470" s="124">
        <f ca="1">IFERROR(__xludf.DUMMYFUNCTION("""COMPUTED_VALUE"""),70)</f>
        <v>70</v>
      </c>
      <c r="E470" s="124"/>
      <c r="F470" s="112" t="str">
        <f ca="1">IFERROR(__xludf.DUMMYFUNCTION("""COMPUTED_VALUE"""),"УЗК,  АТП  ТУ 14-1-3581 , 2ГП, обточ.")</f>
        <v>УЗК,  АТП  ТУ 14-1-3581 , 2ГП, обточ.</v>
      </c>
      <c r="G470" s="125">
        <f ca="1">IFERROR(__xludf.DUMMYFUNCTION("""COMPUTED_VALUE"""),0.773)</f>
        <v>0.77300000000000002</v>
      </c>
      <c r="H470" s="125"/>
      <c r="I470" s="131">
        <f ca="1">IFERROR(__xludf.DUMMYFUNCTION("""COMPUTED_VALUE"""),1800000)</f>
        <v>1800000</v>
      </c>
    </row>
    <row r="471" spans="2:9" ht="15.75" x14ac:dyDescent="0.25">
      <c r="B471" s="123" t="str">
        <f ca="1">IFERROR(__xludf.DUMMYFUNCTION("""COMPUTED_VALUE"""),"Круг")</f>
        <v>Круг</v>
      </c>
      <c r="C471" s="133" t="str">
        <f ca="1">IFERROR(__xludf.DUMMYFUNCTION("""COMPUTED_VALUE"""),"12х18н10т-ВД")</f>
        <v>12х18н10т-ВД</v>
      </c>
      <c r="D471" s="124">
        <f ca="1">IFERROR(__xludf.DUMMYFUNCTION("""COMPUTED_VALUE"""),70)</f>
        <v>70</v>
      </c>
      <c r="E471" s="124"/>
      <c r="F471" s="112" t="str">
        <f ca="1">IFERROR(__xludf.DUMMYFUNCTION("""COMPUTED_VALUE"""),"УЗК,  АТП  ТУ 14-1-3581 , 2ГП, обточ.")</f>
        <v>УЗК,  АТП  ТУ 14-1-3581 , 2ГП, обточ.</v>
      </c>
      <c r="G471" s="125">
        <f ca="1">IFERROR(__xludf.DUMMYFUNCTION("""COMPUTED_VALUE"""),0.212)</f>
        <v>0.21199999999999999</v>
      </c>
      <c r="H471" s="125"/>
      <c r="I471" s="131">
        <f ca="1">IFERROR(__xludf.DUMMYFUNCTION("""COMPUTED_VALUE"""),1800000)</f>
        <v>1800000</v>
      </c>
    </row>
    <row r="472" spans="2:9" ht="15.75" x14ac:dyDescent="0.25">
      <c r="B472" s="123" t="str">
        <f ca="1">IFERROR(__xludf.DUMMYFUNCTION("""COMPUTED_VALUE"""),"Круг")</f>
        <v>Круг</v>
      </c>
      <c r="C472" s="133" t="str">
        <f ca="1">IFERROR(__xludf.DUMMYFUNCTION("""COMPUTED_VALUE"""),"12х18н10т-ВД")</f>
        <v>12х18н10т-ВД</v>
      </c>
      <c r="D472" s="124">
        <f ca="1">IFERROR(__xludf.DUMMYFUNCTION("""COMPUTED_VALUE"""),80)</f>
        <v>80</v>
      </c>
      <c r="E472" s="124"/>
      <c r="F472" s="112" t="str">
        <f ca="1">IFERROR(__xludf.DUMMYFUNCTION("""COMPUTED_VALUE"""),"УЗК,  АТП  ТУ 14-1-3581")</f>
        <v>УЗК,  АТП  ТУ 14-1-3581</v>
      </c>
      <c r="G472" s="125">
        <f ca="1">IFERROR(__xludf.DUMMYFUNCTION("""COMPUTED_VALUE"""),0.324)</f>
        <v>0.32400000000000001</v>
      </c>
      <c r="H472" s="125"/>
      <c r="I472" s="131">
        <f ca="1">IFERROR(__xludf.DUMMYFUNCTION("""COMPUTED_VALUE"""),1800000)</f>
        <v>1800000</v>
      </c>
    </row>
    <row r="473" spans="2:9" ht="15.75" x14ac:dyDescent="0.25">
      <c r="B473" s="123" t="str">
        <f ca="1">IFERROR(__xludf.DUMMYFUNCTION("""COMPUTED_VALUE"""),"Круг")</f>
        <v>Круг</v>
      </c>
      <c r="C473" s="133" t="str">
        <f ca="1">IFERROR(__xludf.DUMMYFUNCTION("""COMPUTED_VALUE"""),"12х18н10т-ВД")</f>
        <v>12х18н10т-ВД</v>
      </c>
      <c r="D473" s="124">
        <f ca="1">IFERROR(__xludf.DUMMYFUNCTION("""COMPUTED_VALUE"""),80)</f>
        <v>80</v>
      </c>
      <c r="E473" s="124"/>
      <c r="F473" s="112" t="str">
        <f ca="1">IFERROR(__xludf.DUMMYFUNCTION("""COMPUTED_VALUE"""),"УЗК,  АТП  ТУ 14-1-3581 , 2ГП, обточ.")</f>
        <v>УЗК,  АТП  ТУ 14-1-3581 , 2ГП, обточ.</v>
      </c>
      <c r="G473" s="125">
        <f ca="1">IFERROR(__xludf.DUMMYFUNCTION("""COMPUTED_VALUE"""),0.752)</f>
        <v>0.752</v>
      </c>
      <c r="H473" s="125"/>
      <c r="I473" s="131">
        <f ca="1">IFERROR(__xludf.DUMMYFUNCTION("""COMPUTED_VALUE"""),1800000)</f>
        <v>1800000</v>
      </c>
    </row>
    <row r="474" spans="2:9" ht="15.75" x14ac:dyDescent="0.25">
      <c r="B474" s="123" t="str">
        <f ca="1">IFERROR(__xludf.DUMMYFUNCTION("""COMPUTED_VALUE"""),"Круг")</f>
        <v>Круг</v>
      </c>
      <c r="C474" s="133" t="str">
        <f ca="1">IFERROR(__xludf.DUMMYFUNCTION("""COMPUTED_VALUE"""),"12х18н10т-ВД")</f>
        <v>12х18н10т-ВД</v>
      </c>
      <c r="D474" s="124">
        <f ca="1">IFERROR(__xludf.DUMMYFUNCTION("""COMPUTED_VALUE"""),80)</f>
        <v>80</v>
      </c>
      <c r="E474" s="124"/>
      <c r="F474" s="112" t="str">
        <f ca="1">IFERROR(__xludf.DUMMYFUNCTION("""COMPUTED_VALUE"""),"УЗК,  АТП  ТУ 14-1-3581 , 2ГП, обточ.")</f>
        <v>УЗК,  АТП  ТУ 14-1-3581 , 2ГП, обточ.</v>
      </c>
      <c r="G474" s="125">
        <f ca="1">IFERROR(__xludf.DUMMYFUNCTION("""COMPUTED_VALUE"""),0.824)</f>
        <v>0.82399999999999995</v>
      </c>
      <c r="H474" s="125"/>
      <c r="I474" s="131">
        <f ca="1">IFERROR(__xludf.DUMMYFUNCTION("""COMPUTED_VALUE"""),1800000)</f>
        <v>1800000</v>
      </c>
    </row>
    <row r="475" spans="2:9" ht="15.75" x14ac:dyDescent="0.25">
      <c r="B475" s="123" t="str">
        <f ca="1">IFERROR(__xludf.DUMMYFUNCTION("""COMPUTED_VALUE"""),"Круг")</f>
        <v>Круг</v>
      </c>
      <c r="C475" s="133" t="str">
        <f ca="1">IFERROR(__xludf.DUMMYFUNCTION("""COMPUTED_VALUE"""),"12х18н10т-ВД")</f>
        <v>12х18н10т-ВД</v>
      </c>
      <c r="D475" s="124">
        <f ca="1">IFERROR(__xludf.DUMMYFUNCTION("""COMPUTED_VALUE"""),90)</f>
        <v>90</v>
      </c>
      <c r="E475" s="124"/>
      <c r="F475" s="112" t="str">
        <f ca="1">IFERROR(__xludf.DUMMYFUNCTION("""COMPUTED_VALUE"""),"УЗК,  АТП  ТУ 14-1-3581")</f>
        <v>УЗК,  АТП  ТУ 14-1-3581</v>
      </c>
      <c r="G475" s="125">
        <f ca="1">IFERROR(__xludf.DUMMYFUNCTION("""COMPUTED_VALUE"""),0.994)</f>
        <v>0.99399999999999999</v>
      </c>
      <c r="H475" s="125"/>
      <c r="I475" s="131">
        <f ca="1">IFERROR(__xludf.DUMMYFUNCTION("""COMPUTED_VALUE"""),1800000)</f>
        <v>1800000</v>
      </c>
    </row>
    <row r="476" spans="2:9" ht="15.75" x14ac:dyDescent="0.25">
      <c r="B476" s="123" t="str">
        <f ca="1">IFERROR(__xludf.DUMMYFUNCTION("""COMPUTED_VALUE"""),"Круг")</f>
        <v>Круг</v>
      </c>
      <c r="C476" s="133" t="str">
        <f ca="1">IFERROR(__xludf.DUMMYFUNCTION("""COMPUTED_VALUE"""),"12х18н10т-ВД")</f>
        <v>12х18н10т-ВД</v>
      </c>
      <c r="D476" s="124">
        <f ca="1">IFERROR(__xludf.DUMMYFUNCTION("""COMPUTED_VALUE"""),90)</f>
        <v>90</v>
      </c>
      <c r="E476" s="124"/>
      <c r="F476" s="112" t="str">
        <f ca="1">IFERROR(__xludf.DUMMYFUNCTION("""COMPUTED_VALUE"""),"УЗК,  АТП  ТУ 14-1-3581 , 2ГП, обточ.")</f>
        <v>УЗК,  АТП  ТУ 14-1-3581 , 2ГП, обточ.</v>
      </c>
      <c r="G476" s="125">
        <f ca="1">IFERROR(__xludf.DUMMYFUNCTION("""COMPUTED_VALUE"""),0.46)</f>
        <v>0.46</v>
      </c>
      <c r="H476" s="125"/>
      <c r="I476" s="131">
        <f ca="1">IFERROR(__xludf.DUMMYFUNCTION("""COMPUTED_VALUE"""),1800000)</f>
        <v>1800000</v>
      </c>
    </row>
    <row r="477" spans="2:9" ht="15.75" x14ac:dyDescent="0.25">
      <c r="B477" s="123" t="str">
        <f ca="1">IFERROR(__xludf.DUMMYFUNCTION("""COMPUTED_VALUE"""),"Круг")</f>
        <v>Круг</v>
      </c>
      <c r="C477" s="133" t="str">
        <f ca="1">IFERROR(__xludf.DUMMYFUNCTION("""COMPUTED_VALUE"""),"12х18н10т-ВД")</f>
        <v>12х18н10т-ВД</v>
      </c>
      <c r="D477" s="124">
        <f ca="1">IFERROR(__xludf.DUMMYFUNCTION("""COMPUTED_VALUE"""),90)</f>
        <v>90</v>
      </c>
      <c r="E477" s="124"/>
      <c r="F477" s="112" t="str">
        <f ca="1">IFERROR(__xludf.DUMMYFUNCTION("""COMPUTED_VALUE"""),"УЗК,  АТП  ТУ 14-1-3581 , 2ГП, обточ.")</f>
        <v>УЗК,  АТП  ТУ 14-1-3581 , 2ГП, обточ.</v>
      </c>
      <c r="G477" s="125">
        <f ca="1">IFERROR(__xludf.DUMMYFUNCTION("""COMPUTED_VALUE"""),1.097)</f>
        <v>1.097</v>
      </c>
      <c r="H477" s="125"/>
      <c r="I477" s="131">
        <f ca="1">IFERROR(__xludf.DUMMYFUNCTION("""COMPUTED_VALUE"""),1800000)</f>
        <v>1800000</v>
      </c>
    </row>
    <row r="478" spans="2:9" ht="15.75" x14ac:dyDescent="0.25">
      <c r="B478" s="123" t="str">
        <f ca="1">IFERROR(__xludf.DUMMYFUNCTION("""COMPUTED_VALUE"""),"Круг")</f>
        <v>Круг</v>
      </c>
      <c r="C478" s="133" t="str">
        <f ca="1">IFERROR(__xludf.DUMMYFUNCTION("""COMPUTED_VALUE"""),"12х18н10т-ВД")</f>
        <v>12х18н10т-ВД</v>
      </c>
      <c r="D478" s="124">
        <f ca="1">IFERROR(__xludf.DUMMYFUNCTION("""COMPUTED_VALUE"""),100)</f>
        <v>100</v>
      </c>
      <c r="E478" s="124"/>
      <c r="F478" s="112" t="str">
        <f ca="1">IFERROR(__xludf.DUMMYFUNCTION("""COMPUTED_VALUE"""),"УЗК,  АТП  ТУ 14-1-3581")</f>
        <v>УЗК,  АТП  ТУ 14-1-3581</v>
      </c>
      <c r="G478" s="125">
        <f ca="1">IFERROR(__xludf.DUMMYFUNCTION("""COMPUTED_VALUE"""),1.4)</f>
        <v>1.4</v>
      </c>
      <c r="H478" s="125"/>
      <c r="I478" s="131">
        <f ca="1">IFERROR(__xludf.DUMMYFUNCTION("""COMPUTED_VALUE"""),1800000)</f>
        <v>1800000</v>
      </c>
    </row>
    <row r="479" spans="2:9" ht="15.75" x14ac:dyDescent="0.25">
      <c r="B479" s="123" t="str">
        <f ca="1">IFERROR(__xludf.DUMMYFUNCTION("""COMPUTED_VALUE"""),"Круг")</f>
        <v>Круг</v>
      </c>
      <c r="C479" s="133" t="str">
        <f ca="1">IFERROR(__xludf.DUMMYFUNCTION("""COMPUTED_VALUE"""),"12х18н10т-ВД")</f>
        <v>12х18н10т-ВД</v>
      </c>
      <c r="D479" s="124">
        <f ca="1">IFERROR(__xludf.DUMMYFUNCTION("""COMPUTED_VALUE"""),110)</f>
        <v>110</v>
      </c>
      <c r="E479" s="124"/>
      <c r="F479" s="112" t="str">
        <f ca="1">IFERROR(__xludf.DUMMYFUNCTION("""COMPUTED_VALUE"""),"УЗК,  АТП  ТУ 14-1-3581 , 2ГП, обточ.")</f>
        <v>УЗК,  АТП  ТУ 14-1-3581 , 2ГП, обточ.</v>
      </c>
      <c r="G479" s="125">
        <f ca="1">IFERROR(__xludf.DUMMYFUNCTION("""COMPUTED_VALUE"""),0.818)</f>
        <v>0.81799999999999995</v>
      </c>
      <c r="H479" s="125"/>
      <c r="I479" s="131">
        <f ca="1">IFERROR(__xludf.DUMMYFUNCTION("""COMPUTED_VALUE"""),1600000)</f>
        <v>1600000</v>
      </c>
    </row>
    <row r="480" spans="2:9" ht="15.75" x14ac:dyDescent="0.25">
      <c r="B480" s="123" t="str">
        <f ca="1">IFERROR(__xludf.DUMMYFUNCTION("""COMPUTED_VALUE"""),"Круг")</f>
        <v>Круг</v>
      </c>
      <c r="C480" s="133" t="str">
        <f ca="1">IFERROR(__xludf.DUMMYFUNCTION("""COMPUTED_VALUE"""),"12х18н10т-ВД")</f>
        <v>12х18н10т-ВД</v>
      </c>
      <c r="D480" s="124">
        <f ca="1">IFERROR(__xludf.DUMMYFUNCTION("""COMPUTED_VALUE"""),110)</f>
        <v>110</v>
      </c>
      <c r="E480" s="124"/>
      <c r="F480" s="112" t="str">
        <f ca="1">IFERROR(__xludf.DUMMYFUNCTION("""COMPUTED_VALUE"""),"УЗК,  АТП  ТУ 14-1-3581 , 2ГП, обточ.")</f>
        <v>УЗК,  АТП  ТУ 14-1-3581 , 2ГП, обточ.</v>
      </c>
      <c r="G480" s="125">
        <f ca="1">IFERROR(__xludf.DUMMYFUNCTION("""COMPUTED_VALUE"""),0.609)</f>
        <v>0.60899999999999999</v>
      </c>
      <c r="H480" s="125"/>
      <c r="I480" s="131">
        <f ca="1">IFERROR(__xludf.DUMMYFUNCTION("""COMPUTED_VALUE"""),1600000)</f>
        <v>1600000</v>
      </c>
    </row>
    <row r="481" spans="2:9" ht="15.75" x14ac:dyDescent="0.25">
      <c r="B481" s="123" t="str">
        <f ca="1">IFERROR(__xludf.DUMMYFUNCTION("""COMPUTED_VALUE"""),"Круг")</f>
        <v>Круг</v>
      </c>
      <c r="C481" s="133" t="str">
        <f ca="1">IFERROR(__xludf.DUMMYFUNCTION("""COMPUTED_VALUE"""),"12х18н10т-ВД")</f>
        <v>12х18н10т-ВД</v>
      </c>
      <c r="D481" s="124">
        <f ca="1">IFERROR(__xludf.DUMMYFUNCTION("""COMPUTED_VALUE"""),120)</f>
        <v>120</v>
      </c>
      <c r="E481" s="124"/>
      <c r="F481" s="112" t="str">
        <f ca="1">IFERROR(__xludf.DUMMYFUNCTION("""COMPUTED_VALUE"""),"УЗК,  АТП  ТУ 14-1-3581")</f>
        <v>УЗК,  АТП  ТУ 14-1-3581</v>
      </c>
      <c r="G481" s="125">
        <f ca="1">IFERROR(__xludf.DUMMYFUNCTION("""COMPUTED_VALUE"""),0.202)</f>
        <v>0.20200000000000001</v>
      </c>
      <c r="H481" s="125"/>
      <c r="I481" s="131">
        <f ca="1">IFERROR(__xludf.DUMMYFUNCTION("""COMPUTED_VALUE"""),1800000)</f>
        <v>1800000</v>
      </c>
    </row>
    <row r="482" spans="2:9" ht="15.75" x14ac:dyDescent="0.25">
      <c r="B482" s="123" t="str">
        <f ca="1">IFERROR(__xludf.DUMMYFUNCTION("""COMPUTED_VALUE"""),"Круг")</f>
        <v>Круг</v>
      </c>
      <c r="C482" s="133" t="str">
        <f ca="1">IFERROR(__xludf.DUMMYFUNCTION("""COMPUTED_VALUE"""),"12х18н10т-ВД")</f>
        <v>12х18н10т-ВД</v>
      </c>
      <c r="D482" s="124">
        <f ca="1">IFERROR(__xludf.DUMMYFUNCTION("""COMPUTED_VALUE"""),130)</f>
        <v>130</v>
      </c>
      <c r="E482" s="124"/>
      <c r="F482" s="112" t="str">
        <f ca="1">IFERROR(__xludf.DUMMYFUNCTION("""COMPUTED_VALUE"""),"УЗК,  АТП  ТУ 14-1-3581")</f>
        <v>УЗК,  АТП  ТУ 14-1-3581</v>
      </c>
      <c r="G482" s="125">
        <f ca="1">IFERROR(__xludf.DUMMYFUNCTION("""COMPUTED_VALUE"""),0.322)</f>
        <v>0.32200000000000001</v>
      </c>
      <c r="H482" s="125"/>
      <c r="I482" s="131">
        <f ca="1">IFERROR(__xludf.DUMMYFUNCTION("""COMPUTED_VALUE"""),1800000)</f>
        <v>1800000</v>
      </c>
    </row>
    <row r="483" spans="2:9" ht="15.75" x14ac:dyDescent="0.25">
      <c r="B483" s="123" t="str">
        <f ca="1">IFERROR(__xludf.DUMMYFUNCTION("""COMPUTED_VALUE"""),"Круг")</f>
        <v>Круг</v>
      </c>
      <c r="C483" s="133" t="str">
        <f ca="1">IFERROR(__xludf.DUMMYFUNCTION("""COMPUTED_VALUE"""),"12х18н10т-ВД")</f>
        <v>12х18н10т-ВД</v>
      </c>
      <c r="D483" s="124">
        <f ca="1">IFERROR(__xludf.DUMMYFUNCTION("""COMPUTED_VALUE"""),130)</f>
        <v>130</v>
      </c>
      <c r="E483" s="124"/>
      <c r="F483" s="112" t="str">
        <f ca="1">IFERROR(__xludf.DUMMYFUNCTION("""COMPUTED_VALUE"""),"УЗК,  АТП  ТУ 14-1-3581")</f>
        <v>УЗК,  АТП  ТУ 14-1-3581</v>
      </c>
      <c r="G483" s="125">
        <f ca="1">IFERROR(__xludf.DUMMYFUNCTION("""COMPUTED_VALUE"""),1.945)</f>
        <v>1.9450000000000001</v>
      </c>
      <c r="H483" s="125"/>
      <c r="I483" s="131">
        <f ca="1">IFERROR(__xludf.DUMMYFUNCTION("""COMPUTED_VALUE"""),1800000)</f>
        <v>1800000</v>
      </c>
    </row>
    <row r="484" spans="2:9" ht="15.75" x14ac:dyDescent="0.25">
      <c r="B484" s="123" t="str">
        <f ca="1">IFERROR(__xludf.DUMMYFUNCTION("""COMPUTED_VALUE"""),"Круг")</f>
        <v>Круг</v>
      </c>
      <c r="C484" s="133" t="str">
        <f ca="1">IFERROR(__xludf.DUMMYFUNCTION("""COMPUTED_VALUE"""),"12х18н10т-ВД")</f>
        <v>12х18н10т-ВД</v>
      </c>
      <c r="D484" s="124">
        <f ca="1">IFERROR(__xludf.DUMMYFUNCTION("""COMPUTED_VALUE"""),140)</f>
        <v>140</v>
      </c>
      <c r="E484" s="124"/>
      <c r="F484" s="112" t="str">
        <f ca="1">IFERROR(__xludf.DUMMYFUNCTION("""COMPUTED_VALUE"""),"УЗК,  АТП  ТУ 14-1-3581")</f>
        <v>УЗК,  АТП  ТУ 14-1-3581</v>
      </c>
      <c r="G484" s="125">
        <f ca="1">IFERROR(__xludf.DUMMYFUNCTION("""COMPUTED_VALUE"""),0.885)</f>
        <v>0.88500000000000001</v>
      </c>
      <c r="H484" s="125"/>
      <c r="I484" s="131">
        <f ca="1">IFERROR(__xludf.DUMMYFUNCTION("""COMPUTED_VALUE"""),1800000)</f>
        <v>1800000</v>
      </c>
    </row>
    <row r="485" spans="2:9" ht="15.75" x14ac:dyDescent="0.25">
      <c r="B485" s="123" t="str">
        <f ca="1">IFERROR(__xludf.DUMMYFUNCTION("""COMPUTED_VALUE"""),"Круг")</f>
        <v>Круг</v>
      </c>
      <c r="C485" s="133" t="str">
        <f ca="1">IFERROR(__xludf.DUMMYFUNCTION("""COMPUTED_VALUE"""),"12х18н10т-ВД")</f>
        <v>12х18н10т-ВД</v>
      </c>
      <c r="D485" s="124">
        <f ca="1">IFERROR(__xludf.DUMMYFUNCTION("""COMPUTED_VALUE"""),140)</f>
        <v>140</v>
      </c>
      <c r="E485" s="124"/>
      <c r="F485" s="112" t="str">
        <f ca="1">IFERROR(__xludf.DUMMYFUNCTION("""COMPUTED_VALUE"""),"УЗК,  АТП  ТУ 14-1-3581")</f>
        <v>УЗК,  АТП  ТУ 14-1-3581</v>
      </c>
      <c r="G485" s="125">
        <f ca="1">IFERROR(__xludf.DUMMYFUNCTION("""COMPUTED_VALUE"""),1.3)</f>
        <v>1.3</v>
      </c>
      <c r="H485" s="125"/>
      <c r="I485" s="131">
        <f ca="1">IFERROR(__xludf.DUMMYFUNCTION("""COMPUTED_VALUE"""),1800000)</f>
        <v>1800000</v>
      </c>
    </row>
    <row r="486" spans="2:9" ht="15.75" x14ac:dyDescent="0.25">
      <c r="B486" s="123" t="str">
        <f ca="1">IFERROR(__xludf.DUMMYFUNCTION("""COMPUTED_VALUE"""),"Круг")</f>
        <v>Круг</v>
      </c>
      <c r="C486" s="133" t="str">
        <f ca="1">IFERROR(__xludf.DUMMYFUNCTION("""COMPUTED_VALUE"""),"12х18н10т-ВД")</f>
        <v>12х18н10т-ВД</v>
      </c>
      <c r="D486" s="124">
        <f ca="1">IFERROR(__xludf.DUMMYFUNCTION("""COMPUTED_VALUE"""),140)</f>
        <v>140</v>
      </c>
      <c r="E486" s="124"/>
      <c r="F486" s="112" t="str">
        <f ca="1">IFERROR(__xludf.DUMMYFUNCTION("""COMPUTED_VALUE"""),"УЗК,  АТП  ТУ 14-1-3581 , 2ГП, обточ.")</f>
        <v>УЗК,  АТП  ТУ 14-1-3581 , 2ГП, обточ.</v>
      </c>
      <c r="G486" s="125">
        <f ca="1">IFERROR(__xludf.DUMMYFUNCTION("""COMPUTED_VALUE"""),1.126)</f>
        <v>1.1259999999999999</v>
      </c>
      <c r="H486" s="125"/>
      <c r="I486" s="131">
        <f ca="1">IFERROR(__xludf.DUMMYFUNCTION("""COMPUTED_VALUE"""),1800000)</f>
        <v>1800000</v>
      </c>
    </row>
    <row r="487" spans="2:9" ht="15.75" x14ac:dyDescent="0.25">
      <c r="B487" s="123" t="str">
        <f ca="1">IFERROR(__xludf.DUMMYFUNCTION("""COMPUTED_VALUE"""),"Круг")</f>
        <v>Круг</v>
      </c>
      <c r="C487" s="133" t="str">
        <f ca="1">IFERROR(__xludf.DUMMYFUNCTION("""COMPUTED_VALUE"""),"12х18н10т-ВД")</f>
        <v>12х18н10т-ВД</v>
      </c>
      <c r="D487" s="124">
        <f ca="1">IFERROR(__xludf.DUMMYFUNCTION("""COMPUTED_VALUE"""),140)</f>
        <v>140</v>
      </c>
      <c r="E487" s="124"/>
      <c r="F487" s="112" t="str">
        <f ca="1">IFERROR(__xludf.DUMMYFUNCTION("""COMPUTED_VALUE"""),"УЗК,  АТП  ТУ 14-1-3581 , 2ГП, обточ.")</f>
        <v>УЗК,  АТП  ТУ 14-1-3581 , 2ГП, обточ.</v>
      </c>
      <c r="G487" s="125">
        <f ca="1">IFERROR(__xludf.DUMMYFUNCTION("""COMPUTED_VALUE"""),0.374)</f>
        <v>0.374</v>
      </c>
      <c r="H487" s="125"/>
      <c r="I487" s="131">
        <f ca="1">IFERROR(__xludf.DUMMYFUNCTION("""COMPUTED_VALUE"""),1800000)</f>
        <v>1800000</v>
      </c>
    </row>
    <row r="488" spans="2:9" ht="15.75" x14ac:dyDescent="0.25">
      <c r="B488" s="123" t="str">
        <f ca="1">IFERROR(__xludf.DUMMYFUNCTION("""COMPUTED_VALUE"""),"Круг")</f>
        <v>Круг</v>
      </c>
      <c r="C488" s="133" t="str">
        <f ca="1">IFERROR(__xludf.DUMMYFUNCTION("""COMPUTED_VALUE"""),"12х18н10т-ВД")</f>
        <v>12х18н10т-ВД</v>
      </c>
      <c r="D488" s="124">
        <f ca="1">IFERROR(__xludf.DUMMYFUNCTION("""COMPUTED_VALUE"""),150)</f>
        <v>150</v>
      </c>
      <c r="E488" s="124"/>
      <c r="F488" s="112" t="str">
        <f ca="1">IFERROR(__xludf.DUMMYFUNCTION("""COMPUTED_VALUE"""),"УЗК,  АТП  ТУ 14-1-3581")</f>
        <v>УЗК,  АТП  ТУ 14-1-3581</v>
      </c>
      <c r="G488" s="125">
        <f ca="1">IFERROR(__xludf.DUMMYFUNCTION("""COMPUTED_VALUE"""),2.455)</f>
        <v>2.4550000000000001</v>
      </c>
      <c r="H488" s="125"/>
      <c r="I488" s="131">
        <f ca="1">IFERROR(__xludf.DUMMYFUNCTION("""COMPUTED_VALUE"""),1800000)</f>
        <v>1800000</v>
      </c>
    </row>
    <row r="489" spans="2:9" ht="15.75" x14ac:dyDescent="0.25">
      <c r="B489" s="123" t="str">
        <f ca="1">IFERROR(__xludf.DUMMYFUNCTION("""COMPUTED_VALUE"""),"Круг")</f>
        <v>Круг</v>
      </c>
      <c r="C489" s="133" t="str">
        <f ca="1">IFERROR(__xludf.DUMMYFUNCTION("""COMPUTED_VALUE"""),"12х18н10т-ВД")</f>
        <v>12х18н10т-ВД</v>
      </c>
      <c r="D489" s="124">
        <f ca="1">IFERROR(__xludf.DUMMYFUNCTION("""COMPUTED_VALUE"""),160)</f>
        <v>160</v>
      </c>
      <c r="E489" s="124"/>
      <c r="F489" s="112" t="str">
        <f ca="1">IFERROR(__xludf.DUMMYFUNCTION("""COMPUTED_VALUE"""),"УЗК,  АТП  ТУ 14-1-3581 , 2ГП, обточ.")</f>
        <v>УЗК,  АТП  ТУ 14-1-3581 , 2ГП, обточ.</v>
      </c>
      <c r="G489" s="125">
        <f ca="1">IFERROR(__xludf.DUMMYFUNCTION("""COMPUTED_VALUE"""),0.917)</f>
        <v>0.91700000000000004</v>
      </c>
      <c r="H489" s="125"/>
      <c r="I489" s="131">
        <f ca="1">IFERROR(__xludf.DUMMYFUNCTION("""COMPUTED_VALUE"""),1600000)</f>
        <v>1600000</v>
      </c>
    </row>
    <row r="490" spans="2:9" ht="15.75" x14ac:dyDescent="0.25">
      <c r="B490" s="123" t="str">
        <f ca="1">IFERROR(__xludf.DUMMYFUNCTION("""COMPUTED_VALUE"""),"Круг")</f>
        <v>Круг</v>
      </c>
      <c r="C490" s="133" t="str">
        <f ca="1">IFERROR(__xludf.DUMMYFUNCTION("""COMPUTED_VALUE"""),"12х18н10т-ВД")</f>
        <v>12х18н10т-ВД</v>
      </c>
      <c r="D490" s="124">
        <f ca="1">IFERROR(__xludf.DUMMYFUNCTION("""COMPUTED_VALUE"""),160)</f>
        <v>160</v>
      </c>
      <c r="E490" s="124"/>
      <c r="F490" s="112" t="str">
        <f ca="1">IFERROR(__xludf.DUMMYFUNCTION("""COMPUTED_VALUE"""),"УЗК,  АТП  ТУ 14-1-3581 , 2ГП, обточ.")</f>
        <v>УЗК,  АТП  ТУ 14-1-3581 , 2ГП, обточ.</v>
      </c>
      <c r="G490" s="125">
        <f ca="1">IFERROR(__xludf.DUMMYFUNCTION("""COMPUTED_VALUE"""),0.536)</f>
        <v>0.53600000000000003</v>
      </c>
      <c r="H490" s="125"/>
      <c r="I490" s="131">
        <f ca="1">IFERROR(__xludf.DUMMYFUNCTION("""COMPUTED_VALUE"""),1600000)</f>
        <v>1600000</v>
      </c>
    </row>
    <row r="491" spans="2:9" ht="15.75" x14ac:dyDescent="0.25">
      <c r="B491" s="123" t="str">
        <f ca="1">IFERROR(__xludf.DUMMYFUNCTION("""COMPUTED_VALUE"""),"Круг")</f>
        <v>Круг</v>
      </c>
      <c r="C491" s="133" t="str">
        <f ca="1">IFERROR(__xludf.DUMMYFUNCTION("""COMPUTED_VALUE"""),"12х18н10т-ВД")</f>
        <v>12х18н10т-ВД</v>
      </c>
      <c r="D491" s="124">
        <f ca="1">IFERROR(__xludf.DUMMYFUNCTION("""COMPUTED_VALUE"""),180)</f>
        <v>180</v>
      </c>
      <c r="E491" s="124"/>
      <c r="F491" s="112" t="str">
        <f ca="1">IFERROR(__xludf.DUMMYFUNCTION("""COMPUTED_VALUE"""),"УЗК,  АТП  ТУ 14-1-3581 , 2ГП, обточ.")</f>
        <v>УЗК,  АТП  ТУ 14-1-3581 , 2ГП, обточ.</v>
      </c>
      <c r="G491" s="125">
        <f ca="1">IFERROR(__xludf.DUMMYFUNCTION("""COMPUTED_VALUE"""),1.4)</f>
        <v>1.4</v>
      </c>
      <c r="H491" s="125"/>
      <c r="I491" s="131">
        <f ca="1">IFERROR(__xludf.DUMMYFUNCTION("""COMPUTED_VALUE"""),1600000)</f>
        <v>1600000</v>
      </c>
    </row>
    <row r="492" spans="2:9" ht="15.75" x14ac:dyDescent="0.25">
      <c r="B492" s="123" t="str">
        <f ca="1">IFERROR(__xludf.DUMMYFUNCTION("""COMPUTED_VALUE"""),"Круг")</f>
        <v>Круг</v>
      </c>
      <c r="C492" s="133" t="str">
        <f ca="1">IFERROR(__xludf.DUMMYFUNCTION("""COMPUTED_VALUE"""),"12х18н10т-ВД")</f>
        <v>12х18н10т-ВД</v>
      </c>
      <c r="D492" s="124">
        <f ca="1">IFERROR(__xludf.DUMMYFUNCTION("""COMPUTED_VALUE"""),200)</f>
        <v>200</v>
      </c>
      <c r="E492" s="124"/>
      <c r="F492" s="112" t="str">
        <f ca="1">IFERROR(__xludf.DUMMYFUNCTION("""COMPUTED_VALUE"""),"УЗК,  АТП  ТУ 14-1-3581 , 2ГП, обточ.")</f>
        <v>УЗК,  АТП  ТУ 14-1-3581 , 2ГП, обточ.</v>
      </c>
      <c r="G492" s="125">
        <f ca="1">IFERROR(__xludf.DUMMYFUNCTION("""COMPUTED_VALUE"""),0.788999999999999)</f>
        <v>0.78899999999999904</v>
      </c>
      <c r="H492" s="125"/>
      <c r="I492" s="131">
        <f ca="1">IFERROR(__xludf.DUMMYFUNCTION("""COMPUTED_VALUE"""),1600000)</f>
        <v>1600000</v>
      </c>
    </row>
    <row r="493" spans="2:9" ht="15.75" x14ac:dyDescent="0.25">
      <c r="B493" s="123" t="str">
        <f ca="1">IFERROR(__xludf.DUMMYFUNCTION("""COMPUTED_VALUE"""),"Круг")</f>
        <v>Круг</v>
      </c>
      <c r="C493" s="133" t="str">
        <f ca="1">IFERROR(__xludf.DUMMYFUNCTION("""COMPUTED_VALUE"""),"12х18н10т-ВД")</f>
        <v>12х18н10т-ВД</v>
      </c>
      <c r="D493" s="124">
        <f ca="1">IFERROR(__xludf.DUMMYFUNCTION("""COMPUTED_VALUE"""),200)</f>
        <v>200</v>
      </c>
      <c r="E493" s="124"/>
      <c r="F493" s="112" t="str">
        <f ca="1">IFERROR(__xludf.DUMMYFUNCTION("""COMPUTED_VALUE"""),"УЗК,  АТП  ТУ 14-1-3581 , 2ГП, обточ.")</f>
        <v>УЗК,  АТП  ТУ 14-1-3581 , 2ГП, обточ.</v>
      </c>
      <c r="G493" s="125">
        <f ca="1">IFERROR(__xludf.DUMMYFUNCTION("""COMPUTED_VALUE"""),0.8)</f>
        <v>0.8</v>
      </c>
      <c r="H493" s="125"/>
      <c r="I493" s="131">
        <f ca="1">IFERROR(__xludf.DUMMYFUNCTION("""COMPUTED_VALUE"""),1600000)</f>
        <v>1600000</v>
      </c>
    </row>
    <row r="494" spans="2:9" ht="15.75" x14ac:dyDescent="0.25">
      <c r="B494" s="123" t="str">
        <f ca="1">IFERROR(__xludf.DUMMYFUNCTION("""COMPUTED_VALUE"""),"Круг")</f>
        <v>Круг</v>
      </c>
      <c r="C494" s="133" t="str">
        <f ca="1">IFERROR(__xludf.DUMMYFUNCTION("""COMPUTED_VALUE"""),"12х18н10т-ВД")</f>
        <v>12х18н10т-ВД</v>
      </c>
      <c r="D494" s="124">
        <f ca="1">IFERROR(__xludf.DUMMYFUNCTION("""COMPUTED_VALUE"""),250)</f>
        <v>250</v>
      </c>
      <c r="E494" s="124"/>
      <c r="F494" s="112" t="str">
        <f ca="1">IFERROR(__xludf.DUMMYFUNCTION("""COMPUTED_VALUE"""),"УЗК, МКК, АТП  ТУ 14-1-3581")</f>
        <v>УЗК, МКК, АТП  ТУ 14-1-3581</v>
      </c>
      <c r="G494" s="125">
        <f ca="1">IFERROR(__xludf.DUMMYFUNCTION("""COMPUTED_VALUE"""),1.29)</f>
        <v>1.29</v>
      </c>
      <c r="H494" s="125"/>
      <c r="I494" s="131">
        <f ca="1">IFERROR(__xludf.DUMMYFUNCTION("""COMPUTED_VALUE"""),2000000)</f>
        <v>2000000</v>
      </c>
    </row>
    <row r="495" spans="2:9" ht="15.75" x14ac:dyDescent="0.25">
      <c r="B495" s="123" t="str">
        <f ca="1">IFERROR(__xludf.DUMMYFUNCTION("""COMPUTED_VALUE"""),"Круг")</f>
        <v>Круг</v>
      </c>
      <c r="C495" s="133" t="str">
        <f ca="1">IFERROR(__xludf.DUMMYFUNCTION("""COMPUTED_VALUE"""),"12х18н10т-ВД")</f>
        <v>12х18н10т-ВД</v>
      </c>
      <c r="D495" s="124">
        <f ca="1">IFERROR(__xludf.DUMMYFUNCTION("""COMPUTED_VALUE"""),250)</f>
        <v>250</v>
      </c>
      <c r="E495" s="124"/>
      <c r="F495" s="112" t="str">
        <f ca="1">IFERROR(__xludf.DUMMYFUNCTION("""COMPUTED_VALUE"""),"УЗК, МКК, АТП  ТУ 14-1-3581")</f>
        <v>УЗК, МКК, АТП  ТУ 14-1-3581</v>
      </c>
      <c r="G495" s="125">
        <f ca="1">IFERROR(__xludf.DUMMYFUNCTION("""COMPUTED_VALUE"""),1.15899999999999)</f>
        <v>1.15899999999999</v>
      </c>
      <c r="H495" s="125"/>
      <c r="I495" s="131">
        <f ca="1">IFERROR(__xludf.DUMMYFUNCTION("""COMPUTED_VALUE"""),2000000)</f>
        <v>2000000</v>
      </c>
    </row>
    <row r="496" spans="2:9" ht="15.75" x14ac:dyDescent="0.25">
      <c r="B496" s="123" t="str">
        <f ca="1">IFERROR(__xludf.DUMMYFUNCTION("""COMPUTED_VALUE"""),"круг")</f>
        <v>круг</v>
      </c>
      <c r="C496" s="133" t="str">
        <f ca="1">IFERROR(__xludf.DUMMYFUNCTION("""COMPUTED_VALUE"""),"13Х15Н4АМ3-ш (ЭП 310ш)")</f>
        <v>13Х15Н4АМ3-ш (ЭП 310ш)</v>
      </c>
      <c r="D496" s="124">
        <f ca="1">IFERROR(__xludf.DUMMYFUNCTION("""COMPUTED_VALUE"""),25)</f>
        <v>25</v>
      </c>
      <c r="E496" s="124"/>
      <c r="F496" s="112" t="str">
        <f ca="1">IFERROR(__xludf.DUMMYFUNCTION("""COMPUTED_VALUE"""),"ТУ 14-1-940-74/ГОСТ 2590-2006, УЗК, отжиг, РТТ ll, В1")</f>
        <v>ТУ 14-1-940-74/ГОСТ 2590-2006, УЗК, отжиг, РТТ ll, В1</v>
      </c>
      <c r="G496" s="125">
        <f ca="1">IFERROR(__xludf.DUMMYFUNCTION("""COMPUTED_VALUE"""),0.523)</f>
        <v>0.52300000000000002</v>
      </c>
      <c r="H496" s="125"/>
      <c r="I496" s="131">
        <f ca="1">IFERROR(__xludf.DUMMYFUNCTION("""COMPUTED_VALUE"""),1450000)</f>
        <v>1450000</v>
      </c>
    </row>
    <row r="497" spans="2:9" ht="15.75" x14ac:dyDescent="0.25">
      <c r="B497" s="123" t="str">
        <f ca="1">IFERROR(__xludf.DUMMYFUNCTION("""COMPUTED_VALUE"""),"круг")</f>
        <v>круг</v>
      </c>
      <c r="C497" s="133" t="str">
        <f ca="1">IFERROR(__xludf.DUMMYFUNCTION("""COMPUTED_VALUE"""),"13Х15Н4АМ3-ш (ЭП 310ш)")</f>
        <v>13Х15Н4АМ3-ш (ЭП 310ш)</v>
      </c>
      <c r="D497" s="124">
        <f ca="1">IFERROR(__xludf.DUMMYFUNCTION("""COMPUTED_VALUE"""),30)</f>
        <v>30</v>
      </c>
      <c r="E497" s="124"/>
      <c r="F497" s="112" t="str">
        <f ca="1">IFERROR(__xludf.DUMMYFUNCTION("""COMPUTED_VALUE"""),"ТУ 14-1-940-74/ГОСТ 2590-2006, УЗК, отжиг, РТТ ll, В1")</f>
        <v>ТУ 14-1-940-74/ГОСТ 2590-2006, УЗК, отжиг, РТТ ll, В1</v>
      </c>
      <c r="G497" s="125">
        <f ca="1">IFERROR(__xludf.DUMMYFUNCTION("""COMPUTED_VALUE"""),0.832)</f>
        <v>0.83199999999999996</v>
      </c>
      <c r="H497" s="125"/>
      <c r="I497" s="131">
        <f ca="1">IFERROR(__xludf.DUMMYFUNCTION("""COMPUTED_VALUE"""),1100000)</f>
        <v>1100000</v>
      </c>
    </row>
    <row r="498" spans="2:9" ht="15.75" x14ac:dyDescent="0.25">
      <c r="B498" s="123" t="str">
        <f ca="1">IFERROR(__xludf.DUMMYFUNCTION("""COMPUTED_VALUE"""),"круг")</f>
        <v>круг</v>
      </c>
      <c r="C498" s="133" t="str">
        <f ca="1">IFERROR(__xludf.DUMMYFUNCTION("""COMPUTED_VALUE"""),"13Х15Н4АМ3-ш (ЭП 310ш)")</f>
        <v>13Х15Н4АМ3-ш (ЭП 310ш)</v>
      </c>
      <c r="D498" s="124">
        <f ca="1">IFERROR(__xludf.DUMMYFUNCTION("""COMPUTED_VALUE"""),30)</f>
        <v>30</v>
      </c>
      <c r="E498" s="124"/>
      <c r="F498" s="112" t="str">
        <f ca="1">IFERROR(__xludf.DUMMYFUNCTION("""COMPUTED_VALUE"""),"ТУ 14-1-940-74/ГОСТ 2590-2006, УЗК, отжиг, РТТ ll, В1")</f>
        <v>ТУ 14-1-940-74/ГОСТ 2590-2006, УЗК, отжиг, РТТ ll, В1</v>
      </c>
      <c r="G498" s="125">
        <f ca="1">IFERROR(__xludf.DUMMYFUNCTION("""COMPUTED_VALUE"""),0.088)</f>
        <v>8.7999999999999995E-2</v>
      </c>
      <c r="H498" s="125"/>
      <c r="I498" s="131">
        <f ca="1">IFERROR(__xludf.DUMMYFUNCTION("""COMPUTED_VALUE"""),1100000)</f>
        <v>1100000</v>
      </c>
    </row>
    <row r="499" spans="2:9" ht="15.75" x14ac:dyDescent="0.25">
      <c r="B499" s="123" t="str">
        <f ca="1">IFERROR(__xludf.DUMMYFUNCTION("""COMPUTED_VALUE"""),"круг")</f>
        <v>круг</v>
      </c>
      <c r="C499" s="133" t="str">
        <f ca="1">IFERROR(__xludf.DUMMYFUNCTION("""COMPUTED_VALUE"""),"13Х15Н4АМ3-ш (ЭП 310ш)")</f>
        <v>13Х15Н4АМ3-ш (ЭП 310ш)</v>
      </c>
      <c r="D499" s="124">
        <f ca="1">IFERROR(__xludf.DUMMYFUNCTION("""COMPUTED_VALUE"""),32)</f>
        <v>32</v>
      </c>
      <c r="E499" s="124"/>
      <c r="F499" s="112" t="str">
        <f ca="1">IFERROR(__xludf.DUMMYFUNCTION("""COMPUTED_VALUE"""),"ТУ 14-1-940-74/ГОСТ 2590-2006, УЗК, отжиг, РТТ ll, В1")</f>
        <v>ТУ 14-1-940-74/ГОСТ 2590-2006, УЗК, отжиг, РТТ ll, В1</v>
      </c>
      <c r="G499" s="125">
        <f ca="1">IFERROR(__xludf.DUMMYFUNCTION("""COMPUTED_VALUE"""),0.95)</f>
        <v>0.95</v>
      </c>
      <c r="H499" s="125"/>
      <c r="I499" s="131">
        <f ca="1">IFERROR(__xludf.DUMMYFUNCTION("""COMPUTED_VALUE"""),1100000)</f>
        <v>1100000</v>
      </c>
    </row>
    <row r="500" spans="2:9" ht="15.75" x14ac:dyDescent="0.25">
      <c r="B500" s="123" t="str">
        <f ca="1">IFERROR(__xludf.DUMMYFUNCTION("""COMPUTED_VALUE"""),"круг")</f>
        <v>круг</v>
      </c>
      <c r="C500" s="133" t="str">
        <f ca="1">IFERROR(__xludf.DUMMYFUNCTION("""COMPUTED_VALUE"""),"13Х15Н4АМ3-ш (ЭП 310ш)")</f>
        <v>13Х15Н4АМ3-ш (ЭП 310ш)</v>
      </c>
      <c r="D500" s="124">
        <f ca="1">IFERROR(__xludf.DUMMYFUNCTION("""COMPUTED_VALUE"""),36)</f>
        <v>36</v>
      </c>
      <c r="E500" s="124"/>
      <c r="F500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00" s="125">
        <f ca="1">IFERROR(__xludf.DUMMYFUNCTION("""COMPUTED_VALUE"""),1.38)</f>
        <v>1.38</v>
      </c>
      <c r="H500" s="125"/>
      <c r="I500" s="131">
        <f ca="1">IFERROR(__xludf.DUMMYFUNCTION("""COMPUTED_VALUE"""),1100000)</f>
        <v>1100000</v>
      </c>
    </row>
    <row r="501" spans="2:9" ht="15.75" x14ac:dyDescent="0.25">
      <c r="B501" s="123" t="str">
        <f ca="1">IFERROR(__xludf.DUMMYFUNCTION("""COMPUTED_VALUE"""),"круг")</f>
        <v>круг</v>
      </c>
      <c r="C501" s="133" t="str">
        <f ca="1">IFERROR(__xludf.DUMMYFUNCTION("""COMPUTED_VALUE"""),"13Х15Н4АМ3-ш (ЭП 310ш)")</f>
        <v>13Х15Н4АМ3-ш (ЭП 310ш)</v>
      </c>
      <c r="D501" s="124">
        <f ca="1">IFERROR(__xludf.DUMMYFUNCTION("""COMPUTED_VALUE"""),38)</f>
        <v>38</v>
      </c>
      <c r="E501" s="124"/>
      <c r="F501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01" s="125">
        <f ca="1">IFERROR(__xludf.DUMMYFUNCTION("""COMPUTED_VALUE"""),1.045)</f>
        <v>1.0449999999999999</v>
      </c>
      <c r="H501" s="125"/>
      <c r="I501" s="131">
        <f ca="1">IFERROR(__xludf.DUMMYFUNCTION("""COMPUTED_VALUE"""),1100000)</f>
        <v>1100000</v>
      </c>
    </row>
    <row r="502" spans="2:9" ht="15.75" x14ac:dyDescent="0.25">
      <c r="B502" s="123" t="str">
        <f ca="1">IFERROR(__xludf.DUMMYFUNCTION("""COMPUTED_VALUE"""),"круг")</f>
        <v>круг</v>
      </c>
      <c r="C502" s="133" t="str">
        <f ca="1">IFERROR(__xludf.DUMMYFUNCTION("""COMPUTED_VALUE"""),"13Х15Н4АМ3-ш (ЭП 310ш)")</f>
        <v>13Х15Н4АМ3-ш (ЭП 310ш)</v>
      </c>
      <c r="D502" s="124">
        <f ca="1">IFERROR(__xludf.DUMMYFUNCTION("""COMPUTED_VALUE"""),40)</f>
        <v>40</v>
      </c>
      <c r="E502" s="124"/>
      <c r="F502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02" s="125">
        <f ca="1">IFERROR(__xludf.DUMMYFUNCTION("""COMPUTED_VALUE"""),1.082)</f>
        <v>1.0820000000000001</v>
      </c>
      <c r="H502" s="125"/>
      <c r="I502" s="131">
        <f ca="1">IFERROR(__xludf.DUMMYFUNCTION("""COMPUTED_VALUE"""),1100000)</f>
        <v>1100000</v>
      </c>
    </row>
    <row r="503" spans="2:9" ht="15.75" x14ac:dyDescent="0.25">
      <c r="B503" s="123" t="str">
        <f ca="1">IFERROR(__xludf.DUMMYFUNCTION("""COMPUTED_VALUE"""),"круг")</f>
        <v>круг</v>
      </c>
      <c r="C503" s="133" t="str">
        <f ca="1">IFERROR(__xludf.DUMMYFUNCTION("""COMPUTED_VALUE"""),"13Х15Н4АМ3-ш (ЭП 310ш)")</f>
        <v>13Х15Н4АМ3-ш (ЭП 310ш)</v>
      </c>
      <c r="D503" s="124">
        <f ca="1">IFERROR(__xludf.DUMMYFUNCTION("""COMPUTED_VALUE"""),42)</f>
        <v>42</v>
      </c>
      <c r="E503" s="124"/>
      <c r="F503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03" s="125">
        <f ca="1">IFERROR(__xludf.DUMMYFUNCTION("""COMPUTED_VALUE"""),0.762)</f>
        <v>0.76200000000000001</v>
      </c>
      <c r="H503" s="125"/>
      <c r="I503" s="131">
        <f ca="1">IFERROR(__xludf.DUMMYFUNCTION("""COMPUTED_VALUE"""),1100000)</f>
        <v>1100000</v>
      </c>
    </row>
    <row r="504" spans="2:9" ht="15.75" x14ac:dyDescent="0.25">
      <c r="B504" s="123" t="str">
        <f ca="1">IFERROR(__xludf.DUMMYFUNCTION("""COMPUTED_VALUE"""),"круг")</f>
        <v>круг</v>
      </c>
      <c r="C504" s="133" t="str">
        <f ca="1">IFERROR(__xludf.DUMMYFUNCTION("""COMPUTED_VALUE"""),"13Х15Н4АМ3-ш (ЭП 310ш)")</f>
        <v>13Х15Н4АМ3-ш (ЭП 310ш)</v>
      </c>
      <c r="D504" s="124">
        <f ca="1">IFERROR(__xludf.DUMMYFUNCTION("""COMPUTED_VALUE"""),42)</f>
        <v>42</v>
      </c>
      <c r="E504" s="124"/>
      <c r="F504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04" s="125">
        <f ca="1">IFERROR(__xludf.DUMMYFUNCTION("""COMPUTED_VALUE"""),0.272)</f>
        <v>0.27200000000000002</v>
      </c>
      <c r="H504" s="125"/>
      <c r="I504" s="131">
        <f ca="1">IFERROR(__xludf.DUMMYFUNCTION("""COMPUTED_VALUE"""),1100000)</f>
        <v>1100000</v>
      </c>
    </row>
    <row r="505" spans="2:9" ht="15.75" x14ac:dyDescent="0.25">
      <c r="B505" s="123" t="str">
        <f ca="1">IFERROR(__xludf.DUMMYFUNCTION("""COMPUTED_VALUE"""),"круг")</f>
        <v>круг</v>
      </c>
      <c r="C505" s="133" t="str">
        <f ca="1">IFERROR(__xludf.DUMMYFUNCTION("""COMPUTED_VALUE"""),"13Х15Н4АМ3-ш (ЭП 310ш)")</f>
        <v>13Х15Н4АМ3-ш (ЭП 310ш)</v>
      </c>
      <c r="D505" s="124">
        <f ca="1">IFERROR(__xludf.DUMMYFUNCTION("""COMPUTED_VALUE"""),45)</f>
        <v>45</v>
      </c>
      <c r="E505" s="124"/>
      <c r="F505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05" s="125">
        <f ca="1">IFERROR(__xludf.DUMMYFUNCTION("""COMPUTED_VALUE"""),0.374)</f>
        <v>0.374</v>
      </c>
      <c r="H505" s="125"/>
      <c r="I505" s="131">
        <f ca="1">IFERROR(__xludf.DUMMYFUNCTION("""COMPUTED_VALUE"""),1100000)</f>
        <v>1100000</v>
      </c>
    </row>
    <row r="506" spans="2:9" ht="15.75" x14ac:dyDescent="0.25">
      <c r="B506" s="123" t="str">
        <f ca="1">IFERROR(__xludf.DUMMYFUNCTION("""COMPUTED_VALUE"""),"круг")</f>
        <v>круг</v>
      </c>
      <c r="C506" s="133" t="str">
        <f ca="1">IFERROR(__xludf.DUMMYFUNCTION("""COMPUTED_VALUE"""),"13Х15Н4АМ3-ш (ЭП 310ш)")</f>
        <v>13Х15Н4АМ3-ш (ЭП 310ш)</v>
      </c>
      <c r="D506" s="124">
        <f ca="1">IFERROR(__xludf.DUMMYFUNCTION("""COMPUTED_VALUE"""),45)</f>
        <v>45</v>
      </c>
      <c r="E506" s="124"/>
      <c r="F506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06" s="125">
        <f ca="1">IFERROR(__xludf.DUMMYFUNCTION("""COMPUTED_VALUE"""),0.636)</f>
        <v>0.63600000000000001</v>
      </c>
      <c r="H506" s="125"/>
      <c r="I506" s="131">
        <f ca="1">IFERROR(__xludf.DUMMYFUNCTION("""COMPUTED_VALUE"""),1100000)</f>
        <v>1100000</v>
      </c>
    </row>
    <row r="507" spans="2:9" ht="15.75" x14ac:dyDescent="0.25">
      <c r="B507" s="123" t="str">
        <f ca="1">IFERROR(__xludf.DUMMYFUNCTION("""COMPUTED_VALUE"""),"круг")</f>
        <v>круг</v>
      </c>
      <c r="C507" s="133" t="str">
        <f ca="1">IFERROR(__xludf.DUMMYFUNCTION("""COMPUTED_VALUE"""),"13Х15Н4АМ3-ш (ЭП 310ш)")</f>
        <v>13Х15Н4АМ3-ш (ЭП 310ш)</v>
      </c>
      <c r="D507" s="124">
        <f ca="1">IFERROR(__xludf.DUMMYFUNCTION("""COMPUTED_VALUE"""),48)</f>
        <v>48</v>
      </c>
      <c r="E507" s="124"/>
      <c r="F507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07" s="125">
        <f ca="1">IFERROR(__xludf.DUMMYFUNCTION("""COMPUTED_VALUE"""),0.885)</f>
        <v>0.88500000000000001</v>
      </c>
      <c r="H507" s="125"/>
      <c r="I507" s="131">
        <f ca="1">IFERROR(__xludf.DUMMYFUNCTION("""COMPUTED_VALUE"""),1100000)</f>
        <v>1100000</v>
      </c>
    </row>
    <row r="508" spans="2:9" ht="15.75" x14ac:dyDescent="0.25">
      <c r="B508" s="123" t="str">
        <f ca="1">IFERROR(__xludf.DUMMYFUNCTION("""COMPUTED_VALUE"""),"круг")</f>
        <v>круг</v>
      </c>
      <c r="C508" s="133" t="str">
        <f ca="1">IFERROR(__xludf.DUMMYFUNCTION("""COMPUTED_VALUE"""),"13Х15Н4АМ3-ш (ЭП 310ш)")</f>
        <v>13Х15Н4АМ3-ш (ЭП 310ш)</v>
      </c>
      <c r="D508" s="124">
        <f ca="1">IFERROR(__xludf.DUMMYFUNCTION("""COMPUTED_VALUE"""),50)</f>
        <v>50</v>
      </c>
      <c r="E508" s="124"/>
      <c r="F508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08" s="125">
        <f ca="1">IFERROR(__xludf.DUMMYFUNCTION("""COMPUTED_VALUE"""),0.319)</f>
        <v>0.31900000000000001</v>
      </c>
      <c r="H508" s="125"/>
      <c r="I508" s="131">
        <f ca="1">IFERROR(__xludf.DUMMYFUNCTION("""COMPUTED_VALUE"""),1100000)</f>
        <v>1100000</v>
      </c>
    </row>
    <row r="509" spans="2:9" ht="15.75" x14ac:dyDescent="0.25">
      <c r="B509" s="123" t="str">
        <f ca="1">IFERROR(__xludf.DUMMYFUNCTION("""COMPUTED_VALUE"""),"круг")</f>
        <v>круг</v>
      </c>
      <c r="C509" s="133" t="str">
        <f ca="1">IFERROR(__xludf.DUMMYFUNCTION("""COMPUTED_VALUE"""),"13Х15Н4АМ3-ш (ЭП 310ш)")</f>
        <v>13Х15Н4АМ3-ш (ЭП 310ш)</v>
      </c>
      <c r="D509" s="124">
        <f ca="1">IFERROR(__xludf.DUMMYFUNCTION("""COMPUTED_VALUE"""),50)</f>
        <v>50</v>
      </c>
      <c r="E509" s="124"/>
      <c r="F509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09" s="125">
        <f ca="1">IFERROR(__xludf.DUMMYFUNCTION("""COMPUTED_VALUE"""),0.905)</f>
        <v>0.90500000000000003</v>
      </c>
      <c r="H509" s="125"/>
      <c r="I509" s="131">
        <f ca="1">IFERROR(__xludf.DUMMYFUNCTION("""COMPUTED_VALUE"""),1100000)</f>
        <v>1100000</v>
      </c>
    </row>
    <row r="510" spans="2:9" ht="15.75" x14ac:dyDescent="0.25">
      <c r="B510" s="123" t="str">
        <f ca="1">IFERROR(__xludf.DUMMYFUNCTION("""COMPUTED_VALUE"""),"круг")</f>
        <v>круг</v>
      </c>
      <c r="C510" s="133" t="str">
        <f ca="1">IFERROR(__xludf.DUMMYFUNCTION("""COMPUTED_VALUE"""),"13Х15Н4АМ3-ш (ЭП 310ш)")</f>
        <v>13Х15Н4АМ3-ш (ЭП 310ш)</v>
      </c>
      <c r="D510" s="124">
        <f ca="1">IFERROR(__xludf.DUMMYFUNCTION("""COMPUTED_VALUE"""),50)</f>
        <v>50</v>
      </c>
      <c r="E510" s="124"/>
      <c r="F510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10" s="125">
        <f ca="1">IFERROR(__xludf.DUMMYFUNCTION("""COMPUTED_VALUE"""),0.19)</f>
        <v>0.19</v>
      </c>
      <c r="H510" s="125"/>
      <c r="I510" s="131">
        <f ca="1">IFERROR(__xludf.DUMMYFUNCTION("""COMPUTED_VALUE"""),1100000)</f>
        <v>1100000</v>
      </c>
    </row>
    <row r="511" spans="2:9" ht="15.75" x14ac:dyDescent="0.25">
      <c r="B511" s="123" t="str">
        <f ca="1">IFERROR(__xludf.DUMMYFUNCTION("""COMPUTED_VALUE"""),"круг")</f>
        <v>круг</v>
      </c>
      <c r="C511" s="133" t="str">
        <f ca="1">IFERROR(__xludf.DUMMYFUNCTION("""COMPUTED_VALUE"""),"13Х15Н4АМ3-ш (ЭП 310ш)")</f>
        <v>13Х15Н4АМ3-ш (ЭП 310ш)</v>
      </c>
      <c r="D511" s="124">
        <f ca="1">IFERROR(__xludf.DUMMYFUNCTION("""COMPUTED_VALUE"""),56)</f>
        <v>56</v>
      </c>
      <c r="E511" s="124"/>
      <c r="F511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11" s="125">
        <f ca="1">IFERROR(__xludf.DUMMYFUNCTION("""COMPUTED_VALUE"""),1.92)</f>
        <v>1.92</v>
      </c>
      <c r="H511" s="125"/>
      <c r="I511" s="131">
        <f ca="1">IFERROR(__xludf.DUMMYFUNCTION("""COMPUTED_VALUE"""),1100000)</f>
        <v>1100000</v>
      </c>
    </row>
    <row r="512" spans="2:9" ht="15.75" x14ac:dyDescent="0.25">
      <c r="B512" s="123" t="str">
        <f ca="1">IFERROR(__xludf.DUMMYFUNCTION("""COMPUTED_VALUE"""),"круг")</f>
        <v>круг</v>
      </c>
      <c r="C512" s="133" t="str">
        <f ca="1">IFERROR(__xludf.DUMMYFUNCTION("""COMPUTED_VALUE"""),"13Х15Н4АМ3-ш (ЭП 310ш)")</f>
        <v>13Х15Н4АМ3-ш (ЭП 310ш)</v>
      </c>
      <c r="D512" s="124">
        <f ca="1">IFERROR(__xludf.DUMMYFUNCTION("""COMPUTED_VALUE"""),60)</f>
        <v>60</v>
      </c>
      <c r="E512" s="124"/>
      <c r="F512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12" s="125">
        <f ca="1">IFERROR(__xludf.DUMMYFUNCTION("""COMPUTED_VALUE"""),1.23699999999999)</f>
        <v>1.2369999999999901</v>
      </c>
      <c r="H512" s="125"/>
      <c r="I512" s="131">
        <f ca="1">IFERROR(__xludf.DUMMYFUNCTION("""COMPUTED_VALUE"""),1100000)</f>
        <v>1100000</v>
      </c>
    </row>
    <row r="513" spans="2:9" ht="15.75" x14ac:dyDescent="0.25">
      <c r="B513" s="123" t="str">
        <f ca="1">IFERROR(__xludf.DUMMYFUNCTION("""COMPUTED_VALUE"""),"круг")</f>
        <v>круг</v>
      </c>
      <c r="C513" s="133" t="str">
        <f ca="1">IFERROR(__xludf.DUMMYFUNCTION("""COMPUTED_VALUE"""),"13Х15Н4АМ3-ш (ЭП 310ш)")</f>
        <v>13Х15Н4АМ3-ш (ЭП 310ш)</v>
      </c>
      <c r="D513" s="124">
        <f ca="1">IFERROR(__xludf.DUMMYFUNCTION("""COMPUTED_VALUE"""),65)</f>
        <v>65</v>
      </c>
      <c r="E513" s="124"/>
      <c r="F513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13" s="125">
        <f ca="1">IFERROR(__xludf.DUMMYFUNCTION("""COMPUTED_VALUE"""),0.27)</f>
        <v>0.27</v>
      </c>
      <c r="H513" s="125"/>
      <c r="I513" s="131">
        <f ca="1">IFERROR(__xludf.DUMMYFUNCTION("""COMPUTED_VALUE"""),1100000)</f>
        <v>1100000</v>
      </c>
    </row>
    <row r="514" spans="2:9" ht="15.75" x14ac:dyDescent="0.25">
      <c r="B514" s="123" t="str">
        <f ca="1">IFERROR(__xludf.DUMMYFUNCTION("""COMPUTED_VALUE"""),"круг")</f>
        <v>круг</v>
      </c>
      <c r="C514" s="133" t="str">
        <f ca="1">IFERROR(__xludf.DUMMYFUNCTION("""COMPUTED_VALUE"""),"13Х15Н4АМ3-ш (ЭП 310ш)")</f>
        <v>13Х15Н4АМ3-ш (ЭП 310ш)</v>
      </c>
      <c r="D514" s="124">
        <f ca="1">IFERROR(__xludf.DUMMYFUNCTION("""COMPUTED_VALUE"""),70)</f>
        <v>70</v>
      </c>
      <c r="E514" s="124"/>
      <c r="F514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14" s="125">
        <f ca="1">IFERROR(__xludf.DUMMYFUNCTION("""COMPUTED_VALUE"""),0.775)</f>
        <v>0.77500000000000002</v>
      </c>
      <c r="H514" s="125"/>
      <c r="I514" s="131">
        <f ca="1">IFERROR(__xludf.DUMMYFUNCTION("""COMPUTED_VALUE"""),1100000)</f>
        <v>1100000</v>
      </c>
    </row>
    <row r="515" spans="2:9" ht="15.75" x14ac:dyDescent="0.25">
      <c r="B515" s="123" t="str">
        <f ca="1">IFERROR(__xludf.DUMMYFUNCTION("""COMPUTED_VALUE"""),"круг")</f>
        <v>круг</v>
      </c>
      <c r="C515" s="133" t="str">
        <f ca="1">IFERROR(__xludf.DUMMYFUNCTION("""COMPUTED_VALUE"""),"13Х15Н4АМ3-ш (ЭП 310ш)")</f>
        <v>13Х15Н4АМ3-ш (ЭП 310ш)</v>
      </c>
      <c r="D515" s="124">
        <f ca="1">IFERROR(__xludf.DUMMYFUNCTION("""COMPUTED_VALUE"""),75)</f>
        <v>75</v>
      </c>
      <c r="E515" s="124"/>
      <c r="F515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15" s="125">
        <f ca="1">IFERROR(__xludf.DUMMYFUNCTION("""COMPUTED_VALUE"""),0.51)</f>
        <v>0.51</v>
      </c>
      <c r="H515" s="125"/>
      <c r="I515" s="131">
        <f ca="1">IFERROR(__xludf.DUMMYFUNCTION("""COMPUTED_VALUE"""),1100000)</f>
        <v>1100000</v>
      </c>
    </row>
    <row r="516" spans="2:9" ht="15.75" x14ac:dyDescent="0.25">
      <c r="B516" s="123" t="str">
        <f ca="1">IFERROR(__xludf.DUMMYFUNCTION("""COMPUTED_VALUE"""),"круг")</f>
        <v>круг</v>
      </c>
      <c r="C516" s="133" t="str">
        <f ca="1">IFERROR(__xludf.DUMMYFUNCTION("""COMPUTED_VALUE"""),"13Х15Н4АМ3-ш (ЭП 310ш)")</f>
        <v>13Х15Н4АМ3-ш (ЭП 310ш)</v>
      </c>
      <c r="D516" s="124">
        <f ca="1">IFERROR(__xludf.DUMMYFUNCTION("""COMPUTED_VALUE"""),75)</f>
        <v>75</v>
      </c>
      <c r="E516" s="124"/>
      <c r="F516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16" s="125">
        <f ca="1">IFERROR(__xludf.DUMMYFUNCTION("""COMPUTED_VALUE"""),1.315)</f>
        <v>1.3149999999999999</v>
      </c>
      <c r="H516" s="125"/>
      <c r="I516" s="131">
        <f ca="1">IFERROR(__xludf.DUMMYFUNCTION("""COMPUTED_VALUE"""),1100000)</f>
        <v>1100000</v>
      </c>
    </row>
    <row r="517" spans="2:9" ht="15.75" x14ac:dyDescent="0.25">
      <c r="B517" s="123" t="str">
        <f ca="1">IFERROR(__xludf.DUMMYFUNCTION("""COMPUTED_VALUE"""),"круг")</f>
        <v>круг</v>
      </c>
      <c r="C517" s="133" t="str">
        <f ca="1">IFERROR(__xludf.DUMMYFUNCTION("""COMPUTED_VALUE"""),"13Х15Н4АМ3-ш (ЭП 310ш)")</f>
        <v>13Х15Н4АМ3-ш (ЭП 310ш)</v>
      </c>
      <c r="D517" s="124">
        <f ca="1">IFERROR(__xludf.DUMMYFUNCTION("""COMPUTED_VALUE"""),80)</f>
        <v>80</v>
      </c>
      <c r="E517" s="124"/>
      <c r="F517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17" s="125">
        <f ca="1">IFERROR(__xludf.DUMMYFUNCTION("""COMPUTED_VALUE"""),0.863999999999999)</f>
        <v>0.86399999999999899</v>
      </c>
      <c r="H517" s="125"/>
      <c r="I517" s="131">
        <f ca="1">IFERROR(__xludf.DUMMYFUNCTION("""COMPUTED_VALUE"""),1100000)</f>
        <v>1100000</v>
      </c>
    </row>
    <row r="518" spans="2:9" ht="15.75" x14ac:dyDescent="0.25">
      <c r="B518" s="123" t="str">
        <f ca="1">IFERROR(__xludf.DUMMYFUNCTION("""COMPUTED_VALUE"""),"круг")</f>
        <v>круг</v>
      </c>
      <c r="C518" s="133" t="str">
        <f ca="1">IFERROR(__xludf.DUMMYFUNCTION("""COMPUTED_VALUE"""),"13Х15Н4АМ3-ш (ЭП 310ш)")</f>
        <v>13Х15Н4АМ3-ш (ЭП 310ш)</v>
      </c>
      <c r="D518" s="124">
        <f ca="1">IFERROR(__xludf.DUMMYFUNCTION("""COMPUTED_VALUE"""),80)</f>
        <v>80</v>
      </c>
      <c r="E518" s="124"/>
      <c r="F518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18" s="125">
        <f ca="1">IFERROR(__xludf.DUMMYFUNCTION("""COMPUTED_VALUE"""),0.64)</f>
        <v>0.64</v>
      </c>
      <c r="H518" s="125"/>
      <c r="I518" s="131">
        <f ca="1">IFERROR(__xludf.DUMMYFUNCTION("""COMPUTED_VALUE"""),1100000)</f>
        <v>1100000</v>
      </c>
    </row>
    <row r="519" spans="2:9" ht="15.75" x14ac:dyDescent="0.25">
      <c r="B519" s="123" t="str">
        <f ca="1">IFERROR(__xludf.DUMMYFUNCTION("""COMPUTED_VALUE"""),"круг")</f>
        <v>круг</v>
      </c>
      <c r="C519" s="133" t="str">
        <f ca="1">IFERROR(__xludf.DUMMYFUNCTION("""COMPUTED_VALUE"""),"13Х15Н4АМ3-ш (ЭП 310ш)")</f>
        <v>13Х15Н4АМ3-ш (ЭП 310ш)</v>
      </c>
      <c r="D519" s="124">
        <f ca="1">IFERROR(__xludf.DUMMYFUNCTION("""COMPUTED_VALUE"""),90)</f>
        <v>90</v>
      </c>
      <c r="E519" s="124"/>
      <c r="F519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19" s="125">
        <f ca="1">IFERROR(__xludf.DUMMYFUNCTION("""COMPUTED_VALUE"""),0.966)</f>
        <v>0.96599999999999997</v>
      </c>
      <c r="H519" s="125"/>
      <c r="I519" s="131">
        <f ca="1">IFERROR(__xludf.DUMMYFUNCTION("""COMPUTED_VALUE"""),1100000)</f>
        <v>1100000</v>
      </c>
    </row>
    <row r="520" spans="2:9" ht="15.75" x14ac:dyDescent="0.25">
      <c r="B520" s="123" t="str">
        <f ca="1">IFERROR(__xludf.DUMMYFUNCTION("""COMPUTED_VALUE"""),"круг")</f>
        <v>круг</v>
      </c>
      <c r="C520" s="133" t="str">
        <f ca="1">IFERROR(__xludf.DUMMYFUNCTION("""COMPUTED_VALUE"""),"13Х15Н4АМ3-ш (ЭП 310ш)")</f>
        <v>13Х15Н4АМ3-ш (ЭП 310ш)</v>
      </c>
      <c r="D520" s="124">
        <f ca="1">IFERROR(__xludf.DUMMYFUNCTION("""COMPUTED_VALUE"""),100)</f>
        <v>100</v>
      </c>
      <c r="E520" s="124"/>
      <c r="F520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20" s="125">
        <f ca="1">IFERROR(__xludf.DUMMYFUNCTION("""COMPUTED_VALUE"""),1.96)</f>
        <v>1.96</v>
      </c>
      <c r="H520" s="125"/>
      <c r="I520" s="131">
        <f ca="1">IFERROR(__xludf.DUMMYFUNCTION("""COMPUTED_VALUE"""),1100000)</f>
        <v>1100000</v>
      </c>
    </row>
    <row r="521" spans="2:9" ht="15.75" x14ac:dyDescent="0.25">
      <c r="B521" s="123" t="str">
        <f ca="1">IFERROR(__xludf.DUMMYFUNCTION("""COMPUTED_VALUE"""),"круг")</f>
        <v>круг</v>
      </c>
      <c r="C521" s="133" t="str">
        <f ca="1">IFERROR(__xludf.DUMMYFUNCTION("""COMPUTED_VALUE"""),"13Х15Н4АМ3-ш (ЭП 310ш)")</f>
        <v>13Х15Н4АМ3-ш (ЭП 310ш)</v>
      </c>
      <c r="D521" s="124">
        <f ca="1">IFERROR(__xludf.DUMMYFUNCTION("""COMPUTED_VALUE"""),150)</f>
        <v>150</v>
      </c>
      <c r="E521" s="124"/>
      <c r="F521" s="112" t="str">
        <f ca="1">IFERROR(__xludf.DUMMYFUNCTION("""COMPUTED_VALUE"""),"ТУ 14-1-940-74/ГОСТ 2590-2006, УЗК, отжиг, РТТ ll, В1, 2ГП")</f>
        <v>ТУ 14-1-940-74/ГОСТ 2590-2006, УЗК, отжиг, РТТ ll, В1, 2ГП</v>
      </c>
      <c r="G521" s="125">
        <f ca="1">IFERROR(__xludf.DUMMYFUNCTION("""COMPUTED_VALUE"""),0.658)</f>
        <v>0.65800000000000003</v>
      </c>
      <c r="H521" s="125"/>
      <c r="I521" s="131">
        <f ca="1">IFERROR(__xludf.DUMMYFUNCTION("""COMPUTED_VALUE"""),800000)</f>
        <v>800000</v>
      </c>
    </row>
    <row r="522" spans="2:9" ht="15.75" x14ac:dyDescent="0.25">
      <c r="B522" s="123" t="str">
        <f ca="1">IFERROR(__xludf.DUMMYFUNCTION("""COMPUTED_VALUE"""),"круг")</f>
        <v>круг</v>
      </c>
      <c r="C522" s="133" t="str">
        <f ca="1">IFERROR(__xludf.DUMMYFUNCTION("""COMPUTED_VALUE"""),"13Х11Н2В2МФ-Ш (эи961ш)")</f>
        <v>13Х11Н2В2МФ-Ш (эи961ш)</v>
      </c>
      <c r="D522" s="124">
        <f ca="1">IFERROR(__xludf.DUMMYFUNCTION("""COMPUTED_VALUE"""),8)</f>
        <v>8</v>
      </c>
      <c r="E522" s="124"/>
      <c r="F522" s="112" t="str">
        <f ca="1">IFERROR(__xludf.DUMMYFUNCTION("""COMPUTED_VALUE""")," ")</f>
        <v xml:space="preserve"> </v>
      </c>
      <c r="G522" s="125">
        <f ca="1">IFERROR(__xludf.DUMMYFUNCTION("""COMPUTED_VALUE"""),0.115999999999999)</f>
        <v>0.11599999999999901</v>
      </c>
      <c r="H522" s="125"/>
      <c r="I522" s="131">
        <f ca="1">IFERROR(__xludf.DUMMYFUNCTION("""COMPUTED_VALUE"""),1500000)</f>
        <v>1500000</v>
      </c>
    </row>
    <row r="523" spans="2:9" ht="15.75" x14ac:dyDescent="0.25">
      <c r="B523" s="123" t="str">
        <f ca="1">IFERROR(__xludf.DUMMYFUNCTION("""COMPUTED_VALUE"""),"круг")</f>
        <v>круг</v>
      </c>
      <c r="C523" s="133" t="str">
        <f ca="1">IFERROR(__xludf.DUMMYFUNCTION("""COMPUTED_VALUE"""),"13Х11Н2В2МФ-Ш (эи961ш)")</f>
        <v>13Х11Н2В2МФ-Ш (эи961ш)</v>
      </c>
      <c r="D523" s="124">
        <f ca="1">IFERROR(__xludf.DUMMYFUNCTION("""COMPUTED_VALUE"""),10)</f>
        <v>10</v>
      </c>
      <c r="E523" s="124"/>
      <c r="F523" s="112" t="str">
        <f ca="1">IFERROR(__xludf.DUMMYFUNCTION("""COMPUTED_VALUE"""),"14-1-3297/2590, АТП , УЗК")</f>
        <v>14-1-3297/2590, АТП , УЗК</v>
      </c>
      <c r="G523" s="125">
        <f ca="1">IFERROR(__xludf.DUMMYFUNCTION("""COMPUTED_VALUE"""),0.268)</f>
        <v>0.26800000000000002</v>
      </c>
      <c r="H523" s="125"/>
      <c r="I523" s="131">
        <f ca="1">IFERROR(__xludf.DUMMYFUNCTION("""COMPUTED_VALUE"""),1350000)</f>
        <v>1350000</v>
      </c>
    </row>
    <row r="524" spans="2:9" ht="15.75" x14ac:dyDescent="0.25">
      <c r="B524" s="123" t="str">
        <f ca="1">IFERROR(__xludf.DUMMYFUNCTION("""COMPUTED_VALUE"""),"круг")</f>
        <v>круг</v>
      </c>
      <c r="C524" s="133" t="str">
        <f ca="1">IFERROR(__xludf.DUMMYFUNCTION("""COMPUTED_VALUE"""),"13Х11Н2В2МФ-Ш (эи961ш)")</f>
        <v>13Х11Н2В2МФ-Ш (эи961ш)</v>
      </c>
      <c r="D524" s="124">
        <f ca="1">IFERROR(__xludf.DUMMYFUNCTION("""COMPUTED_VALUE"""),12)</f>
        <v>12</v>
      </c>
      <c r="E524" s="124"/>
      <c r="F524" s="112" t="str">
        <f ca="1">IFERROR(__xludf.DUMMYFUNCTION("""COMPUTED_VALUE"""),"14-1-3297/2590, АТП , 3гп ,без УЗК")</f>
        <v>14-1-3297/2590, АТП , 3гп ,без УЗК</v>
      </c>
      <c r="G524" s="125">
        <f ca="1">IFERROR(__xludf.DUMMYFUNCTION("""COMPUTED_VALUE"""),0.256)</f>
        <v>0.25600000000000001</v>
      </c>
      <c r="H524" s="125"/>
      <c r="I524" s="131">
        <f ca="1">IFERROR(__xludf.DUMMYFUNCTION("""COMPUTED_VALUE"""),1350000)</f>
        <v>1350000</v>
      </c>
    </row>
    <row r="525" spans="2:9" ht="15.75" x14ac:dyDescent="0.25">
      <c r="B525" s="123" t="str">
        <f ca="1">IFERROR(__xludf.DUMMYFUNCTION("""COMPUTED_VALUE"""),"круг")</f>
        <v>круг</v>
      </c>
      <c r="C525" s="133" t="str">
        <f ca="1">IFERROR(__xludf.DUMMYFUNCTION("""COMPUTED_VALUE"""),"13Х11Н2В2МФ-Ш (эи961ш)")</f>
        <v>13Х11Н2В2МФ-Ш (эи961ш)</v>
      </c>
      <c r="D525" s="124">
        <f ca="1">IFERROR(__xludf.DUMMYFUNCTION("""COMPUTED_VALUE"""),12)</f>
        <v>12</v>
      </c>
      <c r="E525" s="124"/>
      <c r="F525" s="112" t="str">
        <f ca="1">IFERROR(__xludf.DUMMYFUNCTION("""COMPUTED_VALUE"""),"14-1-3297/2590, АТП , УЗК")</f>
        <v>14-1-3297/2590, АТП , УЗК</v>
      </c>
      <c r="G525" s="125">
        <f ca="1">IFERROR(__xludf.DUMMYFUNCTION("""COMPUTED_VALUE"""),0.592)</f>
        <v>0.59199999999999997</v>
      </c>
      <c r="H525" s="125"/>
      <c r="I525" s="131">
        <f ca="1">IFERROR(__xludf.DUMMYFUNCTION("""COMPUTED_VALUE"""),1350000)</f>
        <v>1350000</v>
      </c>
    </row>
    <row r="526" spans="2:9" ht="15.75" x14ac:dyDescent="0.25">
      <c r="B526" s="123" t="str">
        <f ca="1">IFERROR(__xludf.DUMMYFUNCTION("""COMPUTED_VALUE"""),"круг")</f>
        <v>круг</v>
      </c>
      <c r="C526" s="133" t="str">
        <f ca="1">IFERROR(__xludf.DUMMYFUNCTION("""COMPUTED_VALUE"""),"13Х11Н2В2МФ-Ш (эи961ш)")</f>
        <v>13Х11Н2В2МФ-Ш (эи961ш)</v>
      </c>
      <c r="D526" s="124">
        <f ca="1">IFERROR(__xludf.DUMMYFUNCTION("""COMPUTED_VALUE"""),18)</f>
        <v>18</v>
      </c>
      <c r="E526" s="124"/>
      <c r="F526" s="112" t="str">
        <f ca="1">IFERROR(__xludf.DUMMYFUNCTION("""COMPUTED_VALUE"""),"14-1-3297/2590, АТП , УЗК")</f>
        <v>14-1-3297/2590, АТП , УЗК</v>
      </c>
      <c r="G526" s="125">
        <f ca="1">IFERROR(__xludf.DUMMYFUNCTION("""COMPUTED_VALUE"""),0.234999999999999)</f>
        <v>0.23499999999999899</v>
      </c>
      <c r="H526" s="125"/>
      <c r="I526" s="131">
        <f ca="1">IFERROR(__xludf.DUMMYFUNCTION("""COMPUTED_VALUE"""),1350000)</f>
        <v>1350000</v>
      </c>
    </row>
    <row r="527" spans="2:9" ht="15.75" x14ac:dyDescent="0.25">
      <c r="B527" s="123" t="str">
        <f ca="1">IFERROR(__xludf.DUMMYFUNCTION("""COMPUTED_VALUE"""),"круг")</f>
        <v>круг</v>
      </c>
      <c r="C527" s="133" t="str">
        <f ca="1">IFERROR(__xludf.DUMMYFUNCTION("""COMPUTED_VALUE"""),"13Х11Н2В2МФ-Ш (эи961ш)")</f>
        <v>13Х11Н2В2МФ-Ш (эи961ш)</v>
      </c>
      <c r="D527" s="124">
        <f ca="1">IFERROR(__xludf.DUMMYFUNCTION("""COMPUTED_VALUE"""),18)</f>
        <v>18</v>
      </c>
      <c r="E527" s="124"/>
      <c r="F527" s="112" t="str">
        <f ca="1">IFERROR(__xludf.DUMMYFUNCTION("""COMPUTED_VALUE"""),"14-1-3297/2590, АТП , УЗК")</f>
        <v>14-1-3297/2590, АТП , УЗК</v>
      </c>
      <c r="G527" s="125">
        <f ca="1">IFERROR(__xludf.DUMMYFUNCTION("""COMPUTED_VALUE"""),0.532)</f>
        <v>0.53200000000000003</v>
      </c>
      <c r="H527" s="125"/>
      <c r="I527" s="131">
        <f ca="1">IFERROR(__xludf.DUMMYFUNCTION("""COMPUTED_VALUE"""),1350000)</f>
        <v>1350000</v>
      </c>
    </row>
    <row r="528" spans="2:9" ht="15.75" x14ac:dyDescent="0.25">
      <c r="B528" s="123" t="str">
        <f ca="1">IFERROR(__xludf.DUMMYFUNCTION("""COMPUTED_VALUE"""),"круг")</f>
        <v>круг</v>
      </c>
      <c r="C528" s="133" t="str">
        <f ca="1">IFERROR(__xludf.DUMMYFUNCTION("""COMPUTED_VALUE"""),"13Х11Н2В2МФ-Ш (эи961ш)")</f>
        <v>13Х11Н2В2МФ-Ш (эи961ш)</v>
      </c>
      <c r="D528" s="124">
        <f ca="1">IFERROR(__xludf.DUMMYFUNCTION("""COMPUTED_VALUE"""),18)</f>
        <v>18</v>
      </c>
      <c r="E528" s="124"/>
      <c r="F528" s="112" t="str">
        <f ca="1">IFERROR(__xludf.DUMMYFUNCTION("""COMPUTED_VALUE"""),"ГОСТ  5949/2590, АТП . обточ.")</f>
        <v>ГОСТ  5949/2590, АТП . обточ.</v>
      </c>
      <c r="G528" s="125">
        <f ca="1">IFERROR(__xludf.DUMMYFUNCTION("""COMPUTED_VALUE"""),0.138)</f>
        <v>0.13800000000000001</v>
      </c>
      <c r="H528" s="125"/>
      <c r="I528" s="131">
        <f ca="1">IFERROR(__xludf.DUMMYFUNCTION("""COMPUTED_VALUE"""),1000000)</f>
        <v>1000000</v>
      </c>
    </row>
    <row r="529" spans="2:9" ht="15.75" x14ac:dyDescent="0.25">
      <c r="B529" s="123" t="str">
        <f ca="1">IFERROR(__xludf.DUMMYFUNCTION("""COMPUTED_VALUE"""),"круг")</f>
        <v>круг</v>
      </c>
      <c r="C529" s="133" t="str">
        <f ca="1">IFERROR(__xludf.DUMMYFUNCTION("""COMPUTED_VALUE"""),"13Х11Н2В2МФ-Ш (эи961ш)")</f>
        <v>13Х11Н2В2МФ-Ш (эи961ш)</v>
      </c>
      <c r="D529" s="124">
        <f ca="1">IFERROR(__xludf.DUMMYFUNCTION("""COMPUTED_VALUE"""),18)</f>
        <v>18</v>
      </c>
      <c r="E529" s="124"/>
      <c r="F529" s="112" t="str">
        <f ca="1">IFERROR(__xludf.DUMMYFUNCTION("""COMPUTED_VALUE"""),"ГОСТ  5949/2590, АТП . обточ.")</f>
        <v>ГОСТ  5949/2590, АТП . обточ.</v>
      </c>
      <c r="G529" s="125">
        <f ca="1">IFERROR(__xludf.DUMMYFUNCTION("""COMPUTED_VALUE"""),0.226)</f>
        <v>0.22600000000000001</v>
      </c>
      <c r="H529" s="125"/>
      <c r="I529" s="131">
        <f ca="1">IFERROR(__xludf.DUMMYFUNCTION("""COMPUTED_VALUE"""),1000000)</f>
        <v>1000000</v>
      </c>
    </row>
    <row r="530" spans="2:9" ht="15.75" x14ac:dyDescent="0.25">
      <c r="B530" s="123" t="str">
        <f ca="1">IFERROR(__xludf.DUMMYFUNCTION("""COMPUTED_VALUE"""),"круг")</f>
        <v>круг</v>
      </c>
      <c r="C530" s="133" t="str">
        <f ca="1">IFERROR(__xludf.DUMMYFUNCTION("""COMPUTED_VALUE"""),"13Х11Н2В2МФ-Ш (эи961ш)")</f>
        <v>13Х11Н2В2МФ-Ш (эи961ш)</v>
      </c>
      <c r="D530" s="124">
        <f ca="1">IFERROR(__xludf.DUMMYFUNCTION("""COMPUTED_VALUE"""),25)</f>
        <v>25</v>
      </c>
      <c r="E530" s="124"/>
      <c r="F530" s="112" t="str">
        <f ca="1">IFERROR(__xludf.DUMMYFUNCTION("""COMPUTED_VALUE"""),"14-1-3297/2590, АТП , 3гп ,без УЗК")</f>
        <v>14-1-3297/2590, АТП , 3гп ,без УЗК</v>
      </c>
      <c r="G530" s="125">
        <f ca="1">IFERROR(__xludf.DUMMYFUNCTION("""COMPUTED_VALUE"""),0.0989999999999999)</f>
        <v>9.8999999999999894E-2</v>
      </c>
      <c r="H530" s="125"/>
      <c r="I530" s="131">
        <f ca="1">IFERROR(__xludf.DUMMYFUNCTION("""COMPUTED_VALUE"""),1350000)</f>
        <v>1350000</v>
      </c>
    </row>
    <row r="531" spans="2:9" ht="15.75" x14ac:dyDescent="0.25">
      <c r="B531" s="123" t="str">
        <f ca="1">IFERROR(__xludf.DUMMYFUNCTION("""COMPUTED_VALUE"""),"круг")</f>
        <v>круг</v>
      </c>
      <c r="C531" s="133" t="str">
        <f ca="1">IFERROR(__xludf.DUMMYFUNCTION("""COMPUTED_VALUE"""),"13Х11Н2В2МФ-Ш (эи961ш)")</f>
        <v>13Х11Н2В2МФ-Ш (эи961ш)</v>
      </c>
      <c r="D531" s="124">
        <f ca="1">IFERROR(__xludf.DUMMYFUNCTION("""COMPUTED_VALUE"""),28)</f>
        <v>28</v>
      </c>
      <c r="E531" s="124"/>
      <c r="F531" s="112" t="str">
        <f ca="1">IFERROR(__xludf.DUMMYFUNCTION("""COMPUTED_VALUE"""),"14-1-3297/2590, АТП , УЗК")</f>
        <v>14-1-3297/2590, АТП , УЗК</v>
      </c>
      <c r="G531" s="125">
        <f ca="1">IFERROR(__xludf.DUMMYFUNCTION("""COMPUTED_VALUE"""),0.265)</f>
        <v>0.26500000000000001</v>
      </c>
      <c r="H531" s="125"/>
      <c r="I531" s="131">
        <f ca="1">IFERROR(__xludf.DUMMYFUNCTION("""COMPUTED_VALUE"""),1300000)</f>
        <v>1300000</v>
      </c>
    </row>
    <row r="532" spans="2:9" ht="15.75" x14ac:dyDescent="0.25">
      <c r="B532" s="123" t="str">
        <f ca="1">IFERROR(__xludf.DUMMYFUNCTION("""COMPUTED_VALUE"""),"круг")</f>
        <v>круг</v>
      </c>
      <c r="C532" s="133" t="str">
        <f ca="1">IFERROR(__xludf.DUMMYFUNCTION("""COMPUTED_VALUE"""),"13Х11Н2В2МФ-Ш (эи961ш)")</f>
        <v>13Х11Н2В2МФ-Ш (эи961ш)</v>
      </c>
      <c r="D532" s="124">
        <f ca="1">IFERROR(__xludf.DUMMYFUNCTION("""COMPUTED_VALUE"""),28)</f>
        <v>28</v>
      </c>
      <c r="E532" s="124"/>
      <c r="F532" s="112" t="str">
        <f ca="1">IFERROR(__xludf.DUMMYFUNCTION("""COMPUTED_VALUE"""),"14-1-3297/2590, АТП , 3гп ,без УЗК")</f>
        <v>14-1-3297/2590, АТП , 3гп ,без УЗК</v>
      </c>
      <c r="G532" s="125">
        <f ca="1">IFERROR(__xludf.DUMMYFUNCTION("""COMPUTED_VALUE"""),0.996)</f>
        <v>0.996</v>
      </c>
      <c r="H532" s="125"/>
      <c r="I532" s="131">
        <f ca="1">IFERROR(__xludf.DUMMYFUNCTION("""COMPUTED_VALUE"""),1300000)</f>
        <v>1300000</v>
      </c>
    </row>
    <row r="533" spans="2:9" ht="15.75" x14ac:dyDescent="0.25">
      <c r="B533" s="123" t="str">
        <f ca="1">IFERROR(__xludf.DUMMYFUNCTION("""COMPUTED_VALUE"""),"круг")</f>
        <v>круг</v>
      </c>
      <c r="C533" s="133" t="str">
        <f ca="1">IFERROR(__xludf.DUMMYFUNCTION("""COMPUTED_VALUE"""),"13Х11Н2В2МФ-Ш (эи961ш)")</f>
        <v>13Х11Н2В2МФ-Ш (эи961ш)</v>
      </c>
      <c r="D533" s="124">
        <f ca="1">IFERROR(__xludf.DUMMYFUNCTION("""COMPUTED_VALUE"""),30)</f>
        <v>30</v>
      </c>
      <c r="E533" s="124"/>
      <c r="F533" s="112" t="str">
        <f ca="1">IFERROR(__xludf.DUMMYFUNCTION("""COMPUTED_VALUE"""),"14-1-3297/2590 РТ ")</f>
        <v xml:space="preserve">14-1-3297/2590 РТ </v>
      </c>
      <c r="G533" s="125">
        <f ca="1">IFERROR(__xludf.DUMMYFUNCTION("""COMPUTED_VALUE"""),0.111)</f>
        <v>0.111</v>
      </c>
      <c r="H533" s="125"/>
      <c r="I533" s="131">
        <f ca="1">IFERROR(__xludf.DUMMYFUNCTION("""COMPUTED_VALUE"""),1350000)</f>
        <v>1350000</v>
      </c>
    </row>
    <row r="534" spans="2:9" ht="15.75" x14ac:dyDescent="0.25">
      <c r="B534" s="123" t="str">
        <f ca="1">IFERROR(__xludf.DUMMYFUNCTION("""COMPUTED_VALUE"""),"круг")</f>
        <v>круг</v>
      </c>
      <c r="C534" s="133" t="str">
        <f ca="1">IFERROR(__xludf.DUMMYFUNCTION("""COMPUTED_VALUE"""),"13Х11Н2В2МФ-Ш (эи961ш)")</f>
        <v>13Х11Н2В2МФ-Ш (эи961ш)</v>
      </c>
      <c r="D534" s="124">
        <f ca="1">IFERROR(__xludf.DUMMYFUNCTION("""COMPUTED_VALUE"""),30)</f>
        <v>30</v>
      </c>
      <c r="E534" s="124"/>
      <c r="F534" s="112" t="str">
        <f ca="1">IFERROR(__xludf.DUMMYFUNCTION("""COMPUTED_VALUE"""),"14-1-3297/2590 РТ ")</f>
        <v xml:space="preserve">14-1-3297/2590 РТ </v>
      </c>
      <c r="G534" s="125">
        <f ca="1">IFERROR(__xludf.DUMMYFUNCTION("""COMPUTED_VALUE"""),0.479)</f>
        <v>0.47899999999999998</v>
      </c>
      <c r="H534" s="125"/>
      <c r="I534" s="131">
        <f ca="1">IFERROR(__xludf.DUMMYFUNCTION("""COMPUTED_VALUE"""),1350000)</f>
        <v>1350000</v>
      </c>
    </row>
    <row r="535" spans="2:9" ht="15.75" x14ac:dyDescent="0.25">
      <c r="B535" s="123" t="str">
        <f ca="1">IFERROR(__xludf.DUMMYFUNCTION("""COMPUTED_VALUE"""),"круг")</f>
        <v>круг</v>
      </c>
      <c r="C535" s="133" t="str">
        <f ca="1">IFERROR(__xludf.DUMMYFUNCTION("""COMPUTED_VALUE"""),"13Х11Н2В2МФ-Ш (эи961ш)")</f>
        <v>13Х11Н2В2МФ-Ш (эи961ш)</v>
      </c>
      <c r="D535" s="124">
        <f ca="1">IFERROR(__xludf.DUMMYFUNCTION("""COMPUTED_VALUE"""),30)</f>
        <v>30</v>
      </c>
      <c r="E535" s="124"/>
      <c r="F535" s="112" t="str">
        <f ca="1">IFERROR(__xludf.DUMMYFUNCTION("""COMPUTED_VALUE"""),"14-1-3297/2590, АТП , 3гп ,без УЗК")</f>
        <v>14-1-3297/2590, АТП , 3гп ,без УЗК</v>
      </c>
      <c r="G535" s="125">
        <f ca="1">IFERROR(__xludf.DUMMYFUNCTION("""COMPUTED_VALUE"""),2.091)</f>
        <v>2.0910000000000002</v>
      </c>
      <c r="H535" s="125"/>
      <c r="I535" s="131">
        <f ca="1">IFERROR(__xludf.DUMMYFUNCTION("""COMPUTED_VALUE"""),1300000)</f>
        <v>1300000</v>
      </c>
    </row>
    <row r="536" spans="2:9" ht="15.75" x14ac:dyDescent="0.25">
      <c r="B536" s="123" t="str">
        <f ca="1">IFERROR(__xludf.DUMMYFUNCTION("""COMPUTED_VALUE"""),"круг")</f>
        <v>круг</v>
      </c>
      <c r="C536" s="133" t="str">
        <f ca="1">IFERROR(__xludf.DUMMYFUNCTION("""COMPUTED_VALUE"""),"13Х11Н2В2МФ-Ш (эи961ш)")</f>
        <v>13Х11Н2В2МФ-Ш (эи961ш)</v>
      </c>
      <c r="D536" s="124">
        <f ca="1">IFERROR(__xludf.DUMMYFUNCTION("""COMPUTED_VALUE"""),36)</f>
        <v>36</v>
      </c>
      <c r="E536" s="124"/>
      <c r="F536" s="112" t="str">
        <f ca="1">IFERROR(__xludf.DUMMYFUNCTION("""COMPUTED_VALUE"""),"14-1-3297/2590, АТП , 3гп ,без УЗК")</f>
        <v>14-1-3297/2590, АТП , 3гп ,без УЗК</v>
      </c>
      <c r="G536" s="125">
        <f ca="1">IFERROR(__xludf.DUMMYFUNCTION("""COMPUTED_VALUE"""),0.200999999999999)</f>
        <v>0.20099999999999901</v>
      </c>
      <c r="H536" s="125"/>
      <c r="I536" s="131">
        <f ca="1">IFERROR(__xludf.DUMMYFUNCTION("""COMPUTED_VALUE"""),1300000)</f>
        <v>1300000</v>
      </c>
    </row>
    <row r="537" spans="2:9" ht="15.75" x14ac:dyDescent="0.25">
      <c r="B537" s="123" t="str">
        <f ca="1">IFERROR(__xludf.DUMMYFUNCTION("""COMPUTED_VALUE"""),"круг")</f>
        <v>круг</v>
      </c>
      <c r="C537" s="133" t="str">
        <f ca="1">IFERROR(__xludf.DUMMYFUNCTION("""COMPUTED_VALUE"""),"13Х11Н2В2МФ-Ш (эи961ш)")</f>
        <v>13Х11Н2В2МФ-Ш (эи961ш)</v>
      </c>
      <c r="D537" s="124">
        <f ca="1">IFERROR(__xludf.DUMMYFUNCTION("""COMPUTED_VALUE"""),36)</f>
        <v>36</v>
      </c>
      <c r="E537" s="124"/>
      <c r="F537" s="112" t="str">
        <f ca="1">IFERROR(__xludf.DUMMYFUNCTION("""COMPUTED_VALUE"""),"14-1-3297/2590, АТП , УЗК")</f>
        <v>14-1-3297/2590, АТП , УЗК</v>
      </c>
      <c r="G537" s="125">
        <f ca="1">IFERROR(__xludf.DUMMYFUNCTION("""COMPUTED_VALUE"""),0.812)</f>
        <v>0.81200000000000006</v>
      </c>
      <c r="H537" s="125"/>
      <c r="I537" s="131">
        <f ca="1">IFERROR(__xludf.DUMMYFUNCTION("""COMPUTED_VALUE"""),1300000)</f>
        <v>1300000</v>
      </c>
    </row>
    <row r="538" spans="2:9" ht="15.75" x14ac:dyDescent="0.25">
      <c r="B538" s="123" t="str">
        <f ca="1">IFERROR(__xludf.DUMMYFUNCTION("""COMPUTED_VALUE"""),"круг")</f>
        <v>круг</v>
      </c>
      <c r="C538" s="133" t="str">
        <f ca="1">IFERROR(__xludf.DUMMYFUNCTION("""COMPUTED_VALUE"""),"13Х11Н2В2МФ-Ш (эи961ш)")</f>
        <v>13Х11Н2В2МФ-Ш (эи961ш)</v>
      </c>
      <c r="D538" s="124">
        <f ca="1">IFERROR(__xludf.DUMMYFUNCTION("""COMPUTED_VALUE"""),36)</f>
        <v>36</v>
      </c>
      <c r="E538" s="124"/>
      <c r="F538" s="112" t="str">
        <f ca="1">IFERROR(__xludf.DUMMYFUNCTION("""COMPUTED_VALUE"""),"14-1-3297/2590, АТП , 3гп ,без УЗК")</f>
        <v>14-1-3297/2590, АТП , 3гп ,без УЗК</v>
      </c>
      <c r="G538" s="125">
        <f ca="1">IFERROR(__xludf.DUMMYFUNCTION("""COMPUTED_VALUE"""),0.944)</f>
        <v>0.94399999999999995</v>
      </c>
      <c r="H538" s="125"/>
      <c r="I538" s="131">
        <f ca="1">IFERROR(__xludf.DUMMYFUNCTION("""COMPUTED_VALUE"""),1300000)</f>
        <v>1300000</v>
      </c>
    </row>
    <row r="539" spans="2:9" ht="15.75" x14ac:dyDescent="0.25">
      <c r="B539" s="123" t="str">
        <f ca="1">IFERROR(__xludf.DUMMYFUNCTION("""COMPUTED_VALUE"""),"круг")</f>
        <v>круг</v>
      </c>
      <c r="C539" s="133" t="str">
        <f ca="1">IFERROR(__xludf.DUMMYFUNCTION("""COMPUTED_VALUE"""),"13Х11Н2В2МФ-Ш (эи961ш)")</f>
        <v>13Х11Н2В2МФ-Ш (эи961ш)</v>
      </c>
      <c r="D539" s="124">
        <f ca="1">IFERROR(__xludf.DUMMYFUNCTION("""COMPUTED_VALUE"""),36)</f>
        <v>36</v>
      </c>
      <c r="E539" s="124"/>
      <c r="F539" s="112" t="str">
        <f ca="1">IFERROR(__xludf.DUMMYFUNCTION("""COMPUTED_VALUE"""),"14-1-3297/2590, АТП , 3гп ,без УЗК")</f>
        <v>14-1-3297/2590, АТП , 3гп ,без УЗК</v>
      </c>
      <c r="G539" s="125">
        <f ca="1">IFERROR(__xludf.DUMMYFUNCTION("""COMPUTED_VALUE"""),0.037)</f>
        <v>3.6999999999999998E-2</v>
      </c>
      <c r="H539" s="125"/>
      <c r="I539" s="131">
        <f ca="1">IFERROR(__xludf.DUMMYFUNCTION("""COMPUTED_VALUE"""),1300000)</f>
        <v>1300000</v>
      </c>
    </row>
    <row r="540" spans="2:9" ht="15.75" x14ac:dyDescent="0.25">
      <c r="B540" s="123" t="str">
        <f ca="1">IFERROR(__xludf.DUMMYFUNCTION("""COMPUTED_VALUE"""),"круг")</f>
        <v>круг</v>
      </c>
      <c r="C540" s="133" t="str">
        <f ca="1">IFERROR(__xludf.DUMMYFUNCTION("""COMPUTED_VALUE"""),"13Х11Н2В2МФ-Ш (эи961ш)")</f>
        <v>13Х11Н2В2МФ-Ш (эи961ш)</v>
      </c>
      <c r="D540" s="124">
        <f ca="1">IFERROR(__xludf.DUMMYFUNCTION("""COMPUTED_VALUE"""),40)</f>
        <v>40</v>
      </c>
      <c r="E540" s="124"/>
      <c r="F540" s="112" t="str">
        <f ca="1">IFERROR(__xludf.DUMMYFUNCTION("""COMPUTED_VALUE"""),"14-1-3297/2590 РТ ")</f>
        <v xml:space="preserve">14-1-3297/2590 РТ </v>
      </c>
      <c r="G540" s="125">
        <f ca="1">IFERROR(__xludf.DUMMYFUNCTION("""COMPUTED_VALUE"""),0.885)</f>
        <v>0.88500000000000001</v>
      </c>
      <c r="H540" s="125"/>
      <c r="I540" s="131">
        <f ca="1">IFERROR(__xludf.DUMMYFUNCTION("""COMPUTED_VALUE"""),1350000)</f>
        <v>1350000</v>
      </c>
    </row>
    <row r="541" spans="2:9" ht="15.75" x14ac:dyDescent="0.25">
      <c r="B541" s="123" t="str">
        <f ca="1">IFERROR(__xludf.DUMMYFUNCTION("""COMPUTED_VALUE"""),"круг")</f>
        <v>круг</v>
      </c>
      <c r="C541" s="133" t="str">
        <f ca="1">IFERROR(__xludf.DUMMYFUNCTION("""COMPUTED_VALUE"""),"13Х11Н2В2МФ-Ш (эи961ш)")</f>
        <v>13Х11Н2В2МФ-Ш (эи961ш)</v>
      </c>
      <c r="D541" s="124">
        <f ca="1">IFERROR(__xludf.DUMMYFUNCTION("""COMPUTED_VALUE"""),40)</f>
        <v>40</v>
      </c>
      <c r="E541" s="124"/>
      <c r="F541" s="112" t="str">
        <f ca="1">IFERROR(__xludf.DUMMYFUNCTION("""COMPUTED_VALUE"""),"14-1-3297/2590, АТП , 3гп ,без УЗК")</f>
        <v>14-1-3297/2590, АТП , 3гп ,без УЗК</v>
      </c>
      <c r="G541" s="125">
        <f ca="1">IFERROR(__xludf.DUMMYFUNCTION("""COMPUTED_VALUE"""),2.045)</f>
        <v>2.0449999999999999</v>
      </c>
      <c r="H541" s="125"/>
      <c r="I541" s="131">
        <f ca="1">IFERROR(__xludf.DUMMYFUNCTION("""COMPUTED_VALUE"""),1350000)</f>
        <v>1350000</v>
      </c>
    </row>
    <row r="542" spans="2:9" ht="15.75" x14ac:dyDescent="0.25">
      <c r="B542" s="123" t="str">
        <f ca="1">IFERROR(__xludf.DUMMYFUNCTION("""COMPUTED_VALUE"""),"круг")</f>
        <v>круг</v>
      </c>
      <c r="C542" s="133" t="str">
        <f ca="1">IFERROR(__xludf.DUMMYFUNCTION("""COMPUTED_VALUE"""),"13Х11Н2В2МФ-Ш (эи961ш)")</f>
        <v>13Х11Н2В2МФ-Ш (эи961ш)</v>
      </c>
      <c r="D542" s="124">
        <f ca="1">IFERROR(__xludf.DUMMYFUNCTION("""COMPUTED_VALUE"""),56)</f>
        <v>56</v>
      </c>
      <c r="E542" s="124"/>
      <c r="F542" s="112" t="str">
        <f ca="1">IFERROR(__xludf.DUMMYFUNCTION("""COMPUTED_VALUE"""),"14-1-3297/2590")</f>
        <v>14-1-3297/2590</v>
      </c>
      <c r="G542" s="125">
        <f ca="1">IFERROR(__xludf.DUMMYFUNCTION("""COMPUTED_VALUE"""),1.525)</f>
        <v>1.5249999999999999</v>
      </c>
      <c r="H542" s="125"/>
      <c r="I542" s="131">
        <f ca="1">IFERROR(__xludf.DUMMYFUNCTION("""COMPUTED_VALUE"""),1100000)</f>
        <v>1100000</v>
      </c>
    </row>
    <row r="543" spans="2:9" ht="15.75" x14ac:dyDescent="0.25">
      <c r="B543" s="123" t="str">
        <f ca="1">IFERROR(__xludf.DUMMYFUNCTION("""COMPUTED_VALUE"""),"круг")</f>
        <v>круг</v>
      </c>
      <c r="C543" s="133" t="str">
        <f ca="1">IFERROR(__xludf.DUMMYFUNCTION("""COMPUTED_VALUE"""),"13Х11Н2В2МФ-Ш (эи961ш)")</f>
        <v>13Х11Н2В2МФ-Ш (эи961ш)</v>
      </c>
      <c r="D543" s="124">
        <f ca="1">IFERROR(__xludf.DUMMYFUNCTION("""COMPUTED_VALUE"""),60)</f>
        <v>60</v>
      </c>
      <c r="E543" s="124"/>
      <c r="F543" s="112" t="str">
        <f ca="1">IFERROR(__xludf.DUMMYFUNCTION("""COMPUTED_VALUE"""),"14-1-3297/2590")</f>
        <v>14-1-3297/2590</v>
      </c>
      <c r="G543" s="125">
        <f ca="1">IFERROR(__xludf.DUMMYFUNCTION("""COMPUTED_VALUE"""),1.343)</f>
        <v>1.343</v>
      </c>
      <c r="H543" s="125"/>
      <c r="I543" s="131">
        <f ca="1">IFERROR(__xludf.DUMMYFUNCTION("""COMPUTED_VALUE"""),1100000)</f>
        <v>1100000</v>
      </c>
    </row>
    <row r="544" spans="2:9" ht="15.75" x14ac:dyDescent="0.25">
      <c r="B544" s="123" t="str">
        <f ca="1">IFERROR(__xludf.DUMMYFUNCTION("""COMPUTED_VALUE"""),"круг")</f>
        <v>круг</v>
      </c>
      <c r="C544" s="133" t="str">
        <f ca="1">IFERROR(__xludf.DUMMYFUNCTION("""COMPUTED_VALUE"""),"13Х11Н2В2МФ-Ш (эи961ш)")</f>
        <v>13Х11Н2В2МФ-Ш (эи961ш)</v>
      </c>
      <c r="D544" s="124">
        <f ca="1">IFERROR(__xludf.DUMMYFUNCTION("""COMPUTED_VALUE"""),60)</f>
        <v>60</v>
      </c>
      <c r="E544" s="124"/>
      <c r="F544" s="112" t="str">
        <f ca="1">IFERROR(__xludf.DUMMYFUNCTION("""COMPUTED_VALUE"""),"14-1-3297/2590  РТ, УЗК, об, отж.")</f>
        <v>14-1-3297/2590  РТ, УЗК, об, отж.</v>
      </c>
      <c r="G544" s="125">
        <f ca="1">IFERROR(__xludf.DUMMYFUNCTION("""COMPUTED_VALUE"""),1.8)</f>
        <v>1.8</v>
      </c>
      <c r="H544" s="125"/>
      <c r="I544" s="131">
        <f ca="1">IFERROR(__xludf.DUMMYFUNCTION("""COMPUTED_VALUE"""),925000)</f>
        <v>925000</v>
      </c>
    </row>
    <row r="545" spans="2:9" ht="15.75" x14ac:dyDescent="0.25">
      <c r="B545" s="123" t="str">
        <f ca="1">IFERROR(__xludf.DUMMYFUNCTION("""COMPUTED_VALUE"""),"круг")</f>
        <v>круг</v>
      </c>
      <c r="C545" s="133" t="str">
        <f ca="1">IFERROR(__xludf.DUMMYFUNCTION("""COMPUTED_VALUE"""),"13Х11Н2В2МФ-Ш (эи961ш)")</f>
        <v>13Х11Н2В2МФ-Ш (эи961ш)</v>
      </c>
      <c r="D545" s="124">
        <f ca="1">IFERROR(__xludf.DUMMYFUNCTION("""COMPUTED_VALUE"""),65)</f>
        <v>65</v>
      </c>
      <c r="E545" s="124"/>
      <c r="F545" s="112" t="str">
        <f ca="1">IFERROR(__xludf.DUMMYFUNCTION("""COMPUTED_VALUE"""),"14-1-3297/2590, АТП , 3гп ,без УЗК")</f>
        <v>14-1-3297/2590, АТП , 3гп ,без УЗК</v>
      </c>
      <c r="G545" s="125">
        <f ca="1">IFERROR(__xludf.DUMMYFUNCTION("""COMPUTED_VALUE"""),1.50199999999999)</f>
        <v>1.50199999999999</v>
      </c>
      <c r="H545" s="125"/>
      <c r="I545" s="131">
        <f ca="1">IFERROR(__xludf.DUMMYFUNCTION("""COMPUTED_VALUE"""),1350000)</f>
        <v>1350000</v>
      </c>
    </row>
    <row r="546" spans="2:9" ht="15.75" x14ac:dyDescent="0.25">
      <c r="B546" s="123" t="str">
        <f ca="1">IFERROR(__xludf.DUMMYFUNCTION("""COMPUTED_VALUE"""),"круг")</f>
        <v>круг</v>
      </c>
      <c r="C546" s="133" t="str">
        <f ca="1">IFERROR(__xludf.DUMMYFUNCTION("""COMPUTED_VALUE"""),"13Х11Н2В2МФ-Ш (эи961ш)")</f>
        <v>13Х11Н2В2МФ-Ш (эи961ш)</v>
      </c>
      <c r="D546" s="124">
        <f ca="1">IFERROR(__xludf.DUMMYFUNCTION("""COMPUTED_VALUE"""),70)</f>
        <v>70</v>
      </c>
      <c r="E546" s="124"/>
      <c r="F546" s="112" t="str">
        <f ca="1">IFERROR(__xludf.DUMMYFUNCTION("""COMPUTED_VALUE"""),"14-1-3297/2590  РТ, ")</f>
        <v xml:space="preserve">14-1-3297/2590  РТ, </v>
      </c>
      <c r="G546" s="125">
        <f ca="1">IFERROR(__xludf.DUMMYFUNCTION("""COMPUTED_VALUE"""),0.0189999999999999)</f>
        <v>1.8999999999999899E-2</v>
      </c>
      <c r="H546" s="125"/>
      <c r="I546" s="131">
        <f ca="1">IFERROR(__xludf.DUMMYFUNCTION("""COMPUTED_VALUE"""),1100000)</f>
        <v>1100000</v>
      </c>
    </row>
    <row r="547" spans="2:9" ht="15.75" x14ac:dyDescent="0.25">
      <c r="B547" s="123" t="str">
        <f ca="1">IFERROR(__xludf.DUMMYFUNCTION("""COMPUTED_VALUE"""),"круг")</f>
        <v>круг</v>
      </c>
      <c r="C547" s="133" t="str">
        <f ca="1">IFERROR(__xludf.DUMMYFUNCTION("""COMPUTED_VALUE"""),"13Х11Н2В2МФ-Ш (эи961ш)")</f>
        <v>13Х11Н2В2МФ-Ш (эи961ш)</v>
      </c>
      <c r="D547" s="124">
        <f ca="1">IFERROR(__xludf.DUMMYFUNCTION("""COMPUTED_VALUE"""),70)</f>
        <v>70</v>
      </c>
      <c r="E547" s="124"/>
      <c r="F547" s="112" t="str">
        <f ca="1">IFERROR(__xludf.DUMMYFUNCTION("""COMPUTED_VALUE"""),"14-1-3297/2590, АТП , 3гп ,без УЗК")</f>
        <v>14-1-3297/2590, АТП , 3гп ,без УЗК</v>
      </c>
      <c r="G547" s="125">
        <f ca="1">IFERROR(__xludf.DUMMYFUNCTION("""COMPUTED_VALUE"""),0.191)</f>
        <v>0.191</v>
      </c>
      <c r="H547" s="125"/>
      <c r="I547" s="131">
        <f ca="1">IFERROR(__xludf.DUMMYFUNCTION("""COMPUTED_VALUE"""),1100000)</f>
        <v>1100000</v>
      </c>
    </row>
    <row r="548" spans="2:9" ht="15.75" x14ac:dyDescent="0.25">
      <c r="B548" s="123" t="str">
        <f ca="1">IFERROR(__xludf.DUMMYFUNCTION("""COMPUTED_VALUE"""),"круг")</f>
        <v>круг</v>
      </c>
      <c r="C548" s="133" t="str">
        <f ca="1">IFERROR(__xludf.DUMMYFUNCTION("""COMPUTED_VALUE"""),"13Х11Н2В2МФ-Ш (эи961ш)")</f>
        <v>13Х11Н2В2МФ-Ш (эи961ш)</v>
      </c>
      <c r="D548" s="124">
        <f ca="1">IFERROR(__xludf.DUMMYFUNCTION("""COMPUTED_VALUE"""),70)</f>
        <v>70</v>
      </c>
      <c r="E548" s="124"/>
      <c r="F548" s="112" t="str">
        <f ca="1">IFERROR(__xludf.DUMMYFUNCTION("""COMPUTED_VALUE"""),"14-1-3297/2590, АТП , УЗК")</f>
        <v>14-1-3297/2590, АТП , УЗК</v>
      </c>
      <c r="G548" s="125">
        <f ca="1">IFERROR(__xludf.DUMMYFUNCTION("""COMPUTED_VALUE"""),0.705)</f>
        <v>0.70499999999999996</v>
      </c>
      <c r="H548" s="125"/>
      <c r="I548" s="131">
        <f ca="1">IFERROR(__xludf.DUMMYFUNCTION("""COMPUTED_VALUE"""),1100000)</f>
        <v>1100000</v>
      </c>
    </row>
    <row r="549" spans="2:9" ht="15.75" x14ac:dyDescent="0.25">
      <c r="B549" s="123" t="str">
        <f ca="1">IFERROR(__xludf.DUMMYFUNCTION("""COMPUTED_VALUE"""),"круг")</f>
        <v>круг</v>
      </c>
      <c r="C549" s="133" t="str">
        <f ca="1">IFERROR(__xludf.DUMMYFUNCTION("""COMPUTED_VALUE"""),"13Х11Н2В2МФ-Ш (эи961ш)")</f>
        <v>13Х11Н2В2МФ-Ш (эи961ш)</v>
      </c>
      <c r="D549" s="124">
        <f ca="1">IFERROR(__xludf.DUMMYFUNCTION("""COMPUTED_VALUE"""),70)</f>
        <v>70</v>
      </c>
      <c r="E549" s="124"/>
      <c r="F549" s="112" t="str">
        <f ca="1">IFERROR(__xludf.DUMMYFUNCTION("""COMPUTED_VALUE"""),"14-1-3297/2590, АТП , УЗК")</f>
        <v>14-1-3297/2590, АТП , УЗК</v>
      </c>
      <c r="G549" s="125">
        <f ca="1">IFERROR(__xludf.DUMMYFUNCTION("""COMPUTED_VALUE"""),0.715)</f>
        <v>0.71499999999999997</v>
      </c>
      <c r="H549" s="125"/>
      <c r="I549" s="131">
        <f ca="1">IFERROR(__xludf.DUMMYFUNCTION("""COMPUTED_VALUE"""),1100000)</f>
        <v>1100000</v>
      </c>
    </row>
    <row r="550" spans="2:9" ht="15.75" x14ac:dyDescent="0.25">
      <c r="B550" s="123" t="str">
        <f ca="1">IFERROR(__xludf.DUMMYFUNCTION("""COMPUTED_VALUE"""),"круг")</f>
        <v>круг</v>
      </c>
      <c r="C550" s="133" t="str">
        <f ca="1">IFERROR(__xludf.DUMMYFUNCTION("""COMPUTED_VALUE"""),"13Х11Н2В2МФ-Ш (эи961ш)")</f>
        <v>13Х11Н2В2МФ-Ш (эи961ш)</v>
      </c>
      <c r="D550" s="124">
        <f ca="1">IFERROR(__xludf.DUMMYFUNCTION("""COMPUTED_VALUE"""),70)</f>
        <v>70</v>
      </c>
      <c r="E550" s="124"/>
      <c r="F550" s="112" t="str">
        <f ca="1">IFERROR(__xludf.DUMMYFUNCTION("""COMPUTED_VALUE"""),"14-1-3297/2590, АТП , 3гп ,без УЗК")</f>
        <v>14-1-3297/2590, АТП , 3гп ,без УЗК</v>
      </c>
      <c r="G550" s="125">
        <f ca="1">IFERROR(__xludf.DUMMYFUNCTION("""COMPUTED_VALUE"""),0.41)</f>
        <v>0.41</v>
      </c>
      <c r="H550" s="125"/>
      <c r="I550" s="131">
        <f ca="1">IFERROR(__xludf.DUMMYFUNCTION("""COMPUTED_VALUE"""),1100000)</f>
        <v>1100000</v>
      </c>
    </row>
    <row r="551" spans="2:9" ht="15.75" x14ac:dyDescent="0.25">
      <c r="B551" s="123" t="str">
        <f ca="1">IFERROR(__xludf.DUMMYFUNCTION("""COMPUTED_VALUE"""),"круг")</f>
        <v>круг</v>
      </c>
      <c r="C551" s="133" t="str">
        <f ca="1">IFERROR(__xludf.DUMMYFUNCTION("""COMPUTED_VALUE"""),"13Х11Н2В2МФ-Ш (эи961ш)")</f>
        <v>13Х11Н2В2МФ-Ш (эи961ш)</v>
      </c>
      <c r="D551" s="124">
        <f ca="1">IFERROR(__xludf.DUMMYFUNCTION("""COMPUTED_VALUE"""),80)</f>
        <v>80</v>
      </c>
      <c r="E551" s="124"/>
      <c r="F551" s="112" t="str">
        <f ca="1">IFERROR(__xludf.DUMMYFUNCTION("""COMPUTED_VALUE"""),"14-1-3297/2590 РТ ")</f>
        <v xml:space="preserve">14-1-3297/2590 РТ </v>
      </c>
      <c r="G551" s="125">
        <f ca="1">IFERROR(__xludf.DUMMYFUNCTION("""COMPUTED_VALUE"""),1.097)</f>
        <v>1.097</v>
      </c>
      <c r="H551" s="125"/>
      <c r="I551" s="131">
        <f ca="1">IFERROR(__xludf.DUMMYFUNCTION("""COMPUTED_VALUE"""),1100000)</f>
        <v>1100000</v>
      </c>
    </row>
    <row r="552" spans="2:9" ht="15.75" x14ac:dyDescent="0.25">
      <c r="B552" s="123" t="str">
        <f ca="1">IFERROR(__xludf.DUMMYFUNCTION("""COMPUTED_VALUE"""),"круг")</f>
        <v>круг</v>
      </c>
      <c r="C552" s="133" t="str">
        <f ca="1">IFERROR(__xludf.DUMMYFUNCTION("""COMPUTED_VALUE"""),"13Х11Н2В2МФ-Ш (эи961ш)")</f>
        <v>13Х11Н2В2МФ-Ш (эи961ш)</v>
      </c>
      <c r="D552" s="124">
        <f ca="1">IFERROR(__xludf.DUMMYFUNCTION("""COMPUTED_VALUE"""),80)</f>
        <v>80</v>
      </c>
      <c r="E552" s="124"/>
      <c r="F552" s="112" t="str">
        <f ca="1">IFERROR(__xludf.DUMMYFUNCTION("""COMPUTED_VALUE"""),"14-1-3297/2590 РТ ")</f>
        <v xml:space="preserve">14-1-3297/2590 РТ </v>
      </c>
      <c r="G552" s="125">
        <f ca="1">IFERROR(__xludf.DUMMYFUNCTION("""COMPUTED_VALUE"""),0.65)</f>
        <v>0.65</v>
      </c>
      <c r="H552" s="125"/>
      <c r="I552" s="131">
        <f ca="1">IFERROR(__xludf.DUMMYFUNCTION("""COMPUTED_VALUE"""),1100000)</f>
        <v>1100000</v>
      </c>
    </row>
    <row r="553" spans="2:9" ht="15.75" x14ac:dyDescent="0.25">
      <c r="B553" s="123" t="str">
        <f ca="1">IFERROR(__xludf.DUMMYFUNCTION("""COMPUTED_VALUE"""),"круг")</f>
        <v>круг</v>
      </c>
      <c r="C553" s="133" t="str">
        <f ca="1">IFERROR(__xludf.DUMMYFUNCTION("""COMPUTED_VALUE"""),"13Х11Н2В2МФ-Ш (эи961ш)")</f>
        <v>13Х11Н2В2МФ-Ш (эи961ш)</v>
      </c>
      <c r="D553" s="124">
        <f ca="1">IFERROR(__xludf.DUMMYFUNCTION("""COMPUTED_VALUE"""),80)</f>
        <v>80</v>
      </c>
      <c r="E553" s="124"/>
      <c r="F553" s="112" t="str">
        <f ca="1">IFERROR(__xludf.DUMMYFUNCTION("""COMPUTED_VALUE"""),"14-1-3297/2590, АТП , 3гп ,без УЗК")</f>
        <v>14-1-3297/2590, АТП , 3гп ,без УЗК</v>
      </c>
      <c r="G553" s="125">
        <f ca="1">IFERROR(__xludf.DUMMYFUNCTION("""COMPUTED_VALUE"""),0.345)</f>
        <v>0.34499999999999997</v>
      </c>
      <c r="H553" s="125"/>
      <c r="I553" s="131">
        <f ca="1">IFERROR(__xludf.DUMMYFUNCTION("""COMPUTED_VALUE"""),1100000)</f>
        <v>1100000</v>
      </c>
    </row>
    <row r="554" spans="2:9" ht="15.75" x14ac:dyDescent="0.25">
      <c r="B554" s="123" t="str">
        <f ca="1">IFERROR(__xludf.DUMMYFUNCTION("""COMPUTED_VALUE"""),"круг")</f>
        <v>круг</v>
      </c>
      <c r="C554" s="133" t="str">
        <f ca="1">IFERROR(__xludf.DUMMYFUNCTION("""COMPUTED_VALUE"""),"13Х11Н2В2МФ-Ш (эи961ш)")</f>
        <v>13Х11Н2В2МФ-Ш (эи961ш)</v>
      </c>
      <c r="D554" s="124">
        <f ca="1">IFERROR(__xludf.DUMMYFUNCTION("""COMPUTED_VALUE"""),80)</f>
        <v>80</v>
      </c>
      <c r="E554" s="124"/>
      <c r="F554" s="112" t="str">
        <f ca="1">IFERROR(__xludf.DUMMYFUNCTION("""COMPUTED_VALUE"""),"14-1-3297/2590, АТП , 3гп ,без УЗК")</f>
        <v>14-1-3297/2590, АТП , 3гп ,без УЗК</v>
      </c>
      <c r="G554" s="125">
        <f ca="1">IFERROR(__xludf.DUMMYFUNCTION("""COMPUTED_VALUE"""),1.38)</f>
        <v>1.38</v>
      </c>
      <c r="H554" s="125"/>
      <c r="I554" s="131">
        <f ca="1">IFERROR(__xludf.DUMMYFUNCTION("""COMPUTED_VALUE"""),1100000)</f>
        <v>1100000</v>
      </c>
    </row>
    <row r="555" spans="2:9" ht="15.75" x14ac:dyDescent="0.25">
      <c r="B555" s="123" t="str">
        <f ca="1">IFERROR(__xludf.DUMMYFUNCTION("""COMPUTED_VALUE"""),"круг")</f>
        <v>круг</v>
      </c>
      <c r="C555" s="133" t="str">
        <f ca="1">IFERROR(__xludf.DUMMYFUNCTION("""COMPUTED_VALUE"""),"13Х11Н2В2МФ-Ш (эи961ш)")</f>
        <v>13Х11Н2В2МФ-Ш (эи961ш)</v>
      </c>
      <c r="D555" s="124">
        <f ca="1">IFERROR(__xludf.DUMMYFUNCTION("""COMPUTED_VALUE"""),90)</f>
        <v>90</v>
      </c>
      <c r="E555" s="124"/>
      <c r="F555" s="112" t="str">
        <f ca="1">IFERROR(__xludf.DUMMYFUNCTION("""COMPUTED_VALUE"""),"14-1-3297/2590  РТ, ")</f>
        <v xml:space="preserve">14-1-3297/2590  РТ, </v>
      </c>
      <c r="G555" s="125">
        <f ca="1">IFERROR(__xludf.DUMMYFUNCTION("""COMPUTED_VALUE"""),0.230999999999999)</f>
        <v>0.23099999999999901</v>
      </c>
      <c r="H555" s="125"/>
      <c r="I555" s="131">
        <f ca="1">IFERROR(__xludf.DUMMYFUNCTION("""COMPUTED_VALUE"""),1100000)</f>
        <v>1100000</v>
      </c>
    </row>
    <row r="556" spans="2:9" ht="15.75" x14ac:dyDescent="0.25">
      <c r="B556" s="123" t="str">
        <f ca="1">IFERROR(__xludf.DUMMYFUNCTION("""COMPUTED_VALUE"""),"круг")</f>
        <v>круг</v>
      </c>
      <c r="C556" s="133" t="str">
        <f ca="1">IFERROR(__xludf.DUMMYFUNCTION("""COMPUTED_VALUE"""),"13Х11Н2В2МФ-Ш (эи961ш)")</f>
        <v>13Х11Н2В2МФ-Ш (эи961ш)</v>
      </c>
      <c r="D556" s="124">
        <f ca="1">IFERROR(__xludf.DUMMYFUNCTION("""COMPUTED_VALUE"""),90)</f>
        <v>90</v>
      </c>
      <c r="E556" s="124"/>
      <c r="F556" s="112" t="str">
        <f ca="1">IFERROR(__xludf.DUMMYFUNCTION("""COMPUTED_VALUE"""),"14-1-3297/2590 РТ ")</f>
        <v xml:space="preserve">14-1-3297/2590 РТ </v>
      </c>
      <c r="G556" s="125">
        <f ca="1">IFERROR(__xludf.DUMMYFUNCTION("""COMPUTED_VALUE"""),0.185)</f>
        <v>0.185</v>
      </c>
      <c r="H556" s="125"/>
      <c r="I556" s="131">
        <f ca="1">IFERROR(__xludf.DUMMYFUNCTION("""COMPUTED_VALUE"""),1100000)</f>
        <v>1100000</v>
      </c>
    </row>
    <row r="557" spans="2:9" ht="15.75" x14ac:dyDescent="0.25">
      <c r="B557" s="123" t="str">
        <f ca="1">IFERROR(__xludf.DUMMYFUNCTION("""COMPUTED_VALUE"""),"круг")</f>
        <v>круг</v>
      </c>
      <c r="C557" s="133" t="str">
        <f ca="1">IFERROR(__xludf.DUMMYFUNCTION("""COMPUTED_VALUE"""),"13Х11Н2В2МФ-Ш (эи961ш)")</f>
        <v>13Х11Н2В2МФ-Ш (эи961ш)</v>
      </c>
      <c r="D557" s="124">
        <f ca="1">IFERROR(__xludf.DUMMYFUNCTION("""COMPUTED_VALUE"""),90)</f>
        <v>90</v>
      </c>
      <c r="E557" s="124"/>
      <c r="F557" s="112" t="str">
        <f ca="1">IFERROR(__xludf.DUMMYFUNCTION("""COMPUTED_VALUE"""),"14-1-3297/2590 РТ ")</f>
        <v xml:space="preserve">14-1-3297/2590 РТ </v>
      </c>
      <c r="G557" s="125">
        <f ca="1">IFERROR(__xludf.DUMMYFUNCTION("""COMPUTED_VALUE"""),1.275)</f>
        <v>1.2749999999999999</v>
      </c>
      <c r="H557" s="125"/>
      <c r="I557" s="131">
        <f ca="1">IFERROR(__xludf.DUMMYFUNCTION("""COMPUTED_VALUE"""),1100000)</f>
        <v>1100000</v>
      </c>
    </row>
    <row r="558" spans="2:9" ht="15.75" x14ac:dyDescent="0.25">
      <c r="B558" s="123" t="str">
        <f ca="1">IFERROR(__xludf.DUMMYFUNCTION("""COMPUTED_VALUE"""),"круг")</f>
        <v>круг</v>
      </c>
      <c r="C558" s="133" t="str">
        <f ca="1">IFERROR(__xludf.DUMMYFUNCTION("""COMPUTED_VALUE"""),"13Х11Н2В2МФ-Ш (эи961ш)")</f>
        <v>13Х11Н2В2МФ-Ш (эи961ш)</v>
      </c>
      <c r="D558" s="124">
        <f ca="1">IFERROR(__xludf.DUMMYFUNCTION("""COMPUTED_VALUE"""),90)</f>
        <v>90</v>
      </c>
      <c r="E558" s="124"/>
      <c r="F558" s="112" t="str">
        <f ca="1">IFERROR(__xludf.DUMMYFUNCTION("""COMPUTED_VALUE"""),"14-1-3297/2590, АТП , 3гп ,без УЗК")</f>
        <v>14-1-3297/2590, АТП , 3гп ,без УЗК</v>
      </c>
      <c r="G558" s="125">
        <f ca="1">IFERROR(__xludf.DUMMYFUNCTION("""COMPUTED_VALUE"""),2)</f>
        <v>2</v>
      </c>
      <c r="H558" s="125"/>
      <c r="I558" s="131">
        <f ca="1">IFERROR(__xludf.DUMMYFUNCTION("""COMPUTED_VALUE"""),1100000)</f>
        <v>1100000</v>
      </c>
    </row>
    <row r="559" spans="2:9" ht="15.75" x14ac:dyDescent="0.25">
      <c r="B559" s="123" t="str">
        <f ca="1">IFERROR(__xludf.DUMMYFUNCTION("""COMPUTED_VALUE"""),"круг")</f>
        <v>круг</v>
      </c>
      <c r="C559" s="133" t="str">
        <f ca="1">IFERROR(__xludf.DUMMYFUNCTION("""COMPUTED_VALUE"""),"13Х11Н2В2МФ-Ш (эи961ш)")</f>
        <v>13Х11Н2В2МФ-Ш (эи961ш)</v>
      </c>
      <c r="D559" s="124">
        <f ca="1">IFERROR(__xludf.DUMMYFUNCTION("""COMPUTED_VALUE"""),90)</f>
        <v>90</v>
      </c>
      <c r="E559" s="124"/>
      <c r="F559" s="112" t="str">
        <f ca="1">IFERROR(__xludf.DUMMYFUNCTION("""COMPUTED_VALUE"""),"14-1-3297/2590  РТ, УЗК, об, отж.")</f>
        <v>14-1-3297/2590  РТ, УЗК, об, отж.</v>
      </c>
      <c r="G559" s="125">
        <f ca="1">IFERROR(__xludf.DUMMYFUNCTION("""COMPUTED_VALUE"""),2.6)</f>
        <v>2.6</v>
      </c>
      <c r="H559" s="125"/>
      <c r="I559" s="131">
        <f ca="1">IFERROR(__xludf.DUMMYFUNCTION("""COMPUTED_VALUE"""),925000)</f>
        <v>925000</v>
      </c>
    </row>
    <row r="560" spans="2:9" ht="15.75" x14ac:dyDescent="0.25">
      <c r="B560" s="123" t="str">
        <f ca="1">IFERROR(__xludf.DUMMYFUNCTION("""COMPUTED_VALUE"""),"круг")</f>
        <v>круг</v>
      </c>
      <c r="C560" s="133" t="str">
        <f ca="1">IFERROR(__xludf.DUMMYFUNCTION("""COMPUTED_VALUE"""),"13Х11Н2В2МФ-Ш (эи961ш)")</f>
        <v>13Х11Н2В2МФ-Ш (эи961ш)</v>
      </c>
      <c r="D560" s="124">
        <f ca="1">IFERROR(__xludf.DUMMYFUNCTION("""COMPUTED_VALUE"""),95)</f>
        <v>95</v>
      </c>
      <c r="E560" s="124"/>
      <c r="F560" s="112" t="str">
        <f ca="1">IFERROR(__xludf.DUMMYFUNCTION("""COMPUTED_VALUE"""),"14-1-3297/2590  РТ, УЗК, об, отж.")</f>
        <v>14-1-3297/2590  РТ, УЗК, об, отж.</v>
      </c>
      <c r="G560" s="125">
        <f ca="1">IFERROR(__xludf.DUMMYFUNCTION("""COMPUTED_VALUE"""),2.6)</f>
        <v>2.6</v>
      </c>
      <c r="H560" s="125"/>
      <c r="I560" s="131">
        <f ca="1">IFERROR(__xludf.DUMMYFUNCTION("""COMPUTED_VALUE"""),925000)</f>
        <v>925000</v>
      </c>
    </row>
    <row r="561" spans="2:9" ht="15.75" x14ac:dyDescent="0.25">
      <c r="B561" s="123" t="str">
        <f ca="1">IFERROR(__xludf.DUMMYFUNCTION("""COMPUTED_VALUE"""),"круг")</f>
        <v>круг</v>
      </c>
      <c r="C561" s="133" t="str">
        <f ca="1">IFERROR(__xludf.DUMMYFUNCTION("""COMPUTED_VALUE"""),"13Х11Н2В2МФ-Ш (эи961ш)")</f>
        <v>13Х11Н2В2МФ-Ш (эи961ш)</v>
      </c>
      <c r="D561" s="124">
        <f ca="1">IFERROR(__xludf.DUMMYFUNCTION("""COMPUTED_VALUE"""),100)</f>
        <v>100</v>
      </c>
      <c r="E561" s="124"/>
      <c r="F561" s="112" t="str">
        <f ca="1">IFERROR(__xludf.DUMMYFUNCTION("""COMPUTED_VALUE"""),"14-1-3297/2590")</f>
        <v>14-1-3297/2590</v>
      </c>
      <c r="G561" s="125">
        <f ca="1">IFERROR(__xludf.DUMMYFUNCTION("""COMPUTED_VALUE"""),1.12199999999999)</f>
        <v>1.1219999999999899</v>
      </c>
      <c r="H561" s="125"/>
      <c r="I561" s="131">
        <f ca="1">IFERROR(__xludf.DUMMYFUNCTION("""COMPUTED_VALUE"""),1100000)</f>
        <v>1100000</v>
      </c>
    </row>
    <row r="562" spans="2:9" ht="15.75" x14ac:dyDescent="0.25">
      <c r="B562" s="123" t="str">
        <f ca="1">IFERROR(__xludf.DUMMYFUNCTION("""COMPUTED_VALUE"""),"круг")</f>
        <v>круг</v>
      </c>
      <c r="C562" s="133" t="str">
        <f ca="1">IFERROR(__xludf.DUMMYFUNCTION("""COMPUTED_VALUE"""),"13Х11Н2В2МФ-Ш (эи961ш)")</f>
        <v>13Х11Н2В2МФ-Ш (эи961ш)</v>
      </c>
      <c r="D562" s="124">
        <f ca="1">IFERROR(__xludf.DUMMYFUNCTION("""COMPUTED_VALUE"""),100)</f>
        <v>100</v>
      </c>
      <c r="E562" s="124"/>
      <c r="F562" s="112" t="str">
        <f ca="1">IFERROR(__xludf.DUMMYFUNCTION("""COMPUTED_VALUE"""),"14-1-3297/2590  РТ, УЗК, об, отж.")</f>
        <v>14-1-3297/2590  РТ, УЗК, об, отж.</v>
      </c>
      <c r="G562" s="125">
        <f ca="1">IFERROR(__xludf.DUMMYFUNCTION("""COMPUTED_VALUE"""),2.6)</f>
        <v>2.6</v>
      </c>
      <c r="H562" s="125"/>
      <c r="I562" s="131">
        <f ca="1">IFERROR(__xludf.DUMMYFUNCTION("""COMPUTED_VALUE"""),925000)</f>
        <v>925000</v>
      </c>
    </row>
    <row r="563" spans="2:9" ht="15.75" x14ac:dyDescent="0.25">
      <c r="B563" s="123" t="str">
        <f ca="1">IFERROR(__xludf.DUMMYFUNCTION("""COMPUTED_VALUE"""),"круг")</f>
        <v>круг</v>
      </c>
      <c r="C563" s="133" t="str">
        <f ca="1">IFERROR(__xludf.DUMMYFUNCTION("""COMPUTED_VALUE"""),"13Х11Н2В2МФ-Ш (эи961ш)")</f>
        <v>13Х11Н2В2МФ-Ш (эи961ш)</v>
      </c>
      <c r="D563" s="124">
        <f ca="1">IFERROR(__xludf.DUMMYFUNCTION("""COMPUTED_VALUE"""),110)</f>
        <v>110</v>
      </c>
      <c r="E563" s="124"/>
      <c r="F563" s="112" t="str">
        <f ca="1">IFERROR(__xludf.DUMMYFUNCTION("""COMPUTED_VALUE"""),"14-1-3297/2590 БЕЗ РТ пл 521735")</f>
        <v>14-1-3297/2590 БЕЗ РТ пл 521735</v>
      </c>
      <c r="G563" s="125">
        <f ca="1">IFERROR(__xludf.DUMMYFUNCTION("""COMPUTED_VALUE"""),1.093)</f>
        <v>1.093</v>
      </c>
      <c r="H563" s="125"/>
      <c r="I563" s="131">
        <f ca="1">IFERROR(__xludf.DUMMYFUNCTION("""COMPUTED_VALUE"""),850000)</f>
        <v>850000</v>
      </c>
    </row>
    <row r="564" spans="2:9" ht="15.75" x14ac:dyDescent="0.25">
      <c r="B564" s="123" t="str">
        <f ca="1">IFERROR(__xludf.DUMMYFUNCTION("""COMPUTED_VALUE"""),"круг")</f>
        <v>круг</v>
      </c>
      <c r="C564" s="133" t="str">
        <f ca="1">IFERROR(__xludf.DUMMYFUNCTION("""COMPUTED_VALUE"""),"13Х11Н2В2МФ-Ш (эи961ш)")</f>
        <v>13Х11Н2В2МФ-Ш (эи961ш)</v>
      </c>
      <c r="D564" s="124">
        <f ca="1">IFERROR(__xludf.DUMMYFUNCTION("""COMPUTED_VALUE"""),110)</f>
        <v>110</v>
      </c>
      <c r="E564" s="124"/>
      <c r="F564" s="112" t="str">
        <f ca="1">IFERROR(__xludf.DUMMYFUNCTION("""COMPUTED_VALUE"""),"14-1-3297/2590  РТ, УЗК, об, отж.")</f>
        <v>14-1-3297/2590  РТ, УЗК, об, отж.</v>
      </c>
      <c r="G564" s="125">
        <f ca="1">IFERROR(__xludf.DUMMYFUNCTION("""COMPUTED_VALUE"""),2)</f>
        <v>2</v>
      </c>
      <c r="H564" s="125"/>
      <c r="I564" s="131">
        <f ca="1">IFERROR(__xludf.DUMMYFUNCTION("""COMPUTED_VALUE"""),925000)</f>
        <v>925000</v>
      </c>
    </row>
    <row r="565" spans="2:9" ht="15.75" x14ac:dyDescent="0.25">
      <c r="B565" s="123" t="str">
        <f ca="1">IFERROR(__xludf.DUMMYFUNCTION("""COMPUTED_VALUE"""),"круг")</f>
        <v>круг</v>
      </c>
      <c r="C565" s="133" t="str">
        <f ca="1">IFERROR(__xludf.DUMMYFUNCTION("""COMPUTED_VALUE"""),"13Х11Н2В2МФ-Ш (эи961ш)")</f>
        <v>13Х11Н2В2МФ-Ш (эи961ш)</v>
      </c>
      <c r="D565" s="124">
        <f ca="1">IFERROR(__xludf.DUMMYFUNCTION("""COMPUTED_VALUE"""),120)</f>
        <v>120</v>
      </c>
      <c r="E565" s="124"/>
      <c r="F565" s="112" t="str">
        <f ca="1">IFERROR(__xludf.DUMMYFUNCTION("""COMPUTED_VALUE"""),"14-1-3297/2590 БЕЗ РТ пл 521734")</f>
        <v>14-1-3297/2590 БЕЗ РТ пл 521734</v>
      </c>
      <c r="G565" s="125">
        <f ca="1">IFERROR(__xludf.DUMMYFUNCTION("""COMPUTED_VALUE"""),1.594)</f>
        <v>1.5940000000000001</v>
      </c>
      <c r="H565" s="125"/>
      <c r="I565" s="131">
        <f ca="1">IFERROR(__xludf.DUMMYFUNCTION("""COMPUTED_VALUE"""),850000)</f>
        <v>850000</v>
      </c>
    </row>
    <row r="566" spans="2:9" ht="15.75" x14ac:dyDescent="0.25">
      <c r="B566" s="123" t="str">
        <f ca="1">IFERROR(__xludf.DUMMYFUNCTION("""COMPUTED_VALUE"""),"круг")</f>
        <v>круг</v>
      </c>
      <c r="C566" s="133" t="str">
        <f ca="1">IFERROR(__xludf.DUMMYFUNCTION("""COMPUTED_VALUE"""),"13Х11Н2В2МФ-Ш (эи961ш)")</f>
        <v>13Х11Н2В2МФ-Ш (эи961ш)</v>
      </c>
      <c r="D566" s="124">
        <f ca="1">IFERROR(__xludf.DUMMYFUNCTION("""COMPUTED_VALUE"""),120)</f>
        <v>120</v>
      </c>
      <c r="E566" s="124"/>
      <c r="F566" s="112" t="str">
        <f ca="1">IFERROR(__xludf.DUMMYFUNCTION("""COMPUTED_VALUE"""),"14-1-3297/2590  РТ, УЗК, об, отж.")</f>
        <v>14-1-3297/2590  РТ, УЗК, об, отж.</v>
      </c>
      <c r="G566" s="125">
        <f ca="1">IFERROR(__xludf.DUMMYFUNCTION("""COMPUTED_VALUE"""),2.093)</f>
        <v>2.093</v>
      </c>
      <c r="H566" s="125"/>
      <c r="I566" s="131">
        <f ca="1">IFERROR(__xludf.DUMMYFUNCTION("""COMPUTED_VALUE"""),925000)</f>
        <v>925000</v>
      </c>
    </row>
    <row r="567" spans="2:9" ht="15.75" x14ac:dyDescent="0.25">
      <c r="B567" s="123" t="str">
        <f ca="1">IFERROR(__xludf.DUMMYFUNCTION("""COMPUTED_VALUE"""),"круг")</f>
        <v>круг</v>
      </c>
      <c r="C567" s="133" t="str">
        <f ca="1">IFERROR(__xludf.DUMMYFUNCTION("""COMPUTED_VALUE"""),"13Х11Н2В2МФ-Ш (эи961ш)")</f>
        <v>13Х11Н2В2МФ-Ш (эи961ш)</v>
      </c>
      <c r="D567" s="124">
        <f ca="1">IFERROR(__xludf.DUMMYFUNCTION("""COMPUTED_VALUE"""),130)</f>
        <v>130</v>
      </c>
      <c r="E567" s="124"/>
      <c r="F567" s="112" t="str">
        <f ca="1">IFERROR(__xludf.DUMMYFUNCTION("""COMPUTED_VALUE"""),"14-1-3297/2590 БЕЗ РТ пл 521738")</f>
        <v>14-1-3297/2590 БЕЗ РТ пл 521738</v>
      </c>
      <c r="G567" s="125">
        <f ca="1">IFERROR(__xludf.DUMMYFUNCTION("""COMPUTED_VALUE"""),0.544999999999999)</f>
        <v>0.54499999999999904</v>
      </c>
      <c r="H567" s="125"/>
      <c r="I567" s="131">
        <f ca="1">IFERROR(__xludf.DUMMYFUNCTION("""COMPUTED_VALUE"""),850000)</f>
        <v>850000</v>
      </c>
    </row>
    <row r="568" spans="2:9" ht="15.75" x14ac:dyDescent="0.25">
      <c r="B568" s="123" t="str">
        <f ca="1">IFERROR(__xludf.DUMMYFUNCTION("""COMPUTED_VALUE"""),"круг")</f>
        <v>круг</v>
      </c>
      <c r="C568" s="133" t="str">
        <f ca="1">IFERROR(__xludf.DUMMYFUNCTION("""COMPUTED_VALUE"""),"13Х11Н2В2МФ-Ш (эи961ш)")</f>
        <v>13Х11Н2В2МФ-Ш (эи961ш)</v>
      </c>
      <c r="D568" s="124">
        <f ca="1">IFERROR(__xludf.DUMMYFUNCTION("""COMPUTED_VALUE"""),130)</f>
        <v>130</v>
      </c>
      <c r="E568" s="124"/>
      <c r="F568" s="112" t="str">
        <f ca="1">IFERROR(__xludf.DUMMYFUNCTION("""COMPUTED_VALUE"""),"14-1-3297/2590  РТ, УЗК, об, отж.")</f>
        <v>14-1-3297/2590  РТ, УЗК, об, отж.</v>
      </c>
      <c r="G568" s="125">
        <f ca="1">IFERROR(__xludf.DUMMYFUNCTION("""COMPUTED_VALUE"""),1.879)</f>
        <v>1.879</v>
      </c>
      <c r="H568" s="125"/>
      <c r="I568" s="131">
        <f ca="1">IFERROR(__xludf.DUMMYFUNCTION("""COMPUTED_VALUE"""),925000)</f>
        <v>925000</v>
      </c>
    </row>
    <row r="569" spans="2:9" ht="15.75" x14ac:dyDescent="0.25">
      <c r="B569" s="123" t="str">
        <f ca="1">IFERROR(__xludf.DUMMYFUNCTION("""COMPUTED_VALUE"""),"круг")</f>
        <v>круг</v>
      </c>
      <c r="C569" s="133" t="str">
        <f ca="1">IFERROR(__xludf.DUMMYFUNCTION("""COMPUTED_VALUE"""),"13Х11Н2В2МФ-Ш (эи961ш)")</f>
        <v>13Х11Н2В2МФ-Ш (эи961ш)</v>
      </c>
      <c r="D569" s="124">
        <f ca="1">IFERROR(__xludf.DUMMYFUNCTION("""COMPUTED_VALUE"""),140)</f>
        <v>140</v>
      </c>
      <c r="E569" s="124"/>
      <c r="F569" s="112" t="str">
        <f ca="1">IFERROR(__xludf.DUMMYFUNCTION("""COMPUTED_VALUE"""),"14-1-3297/2590  РТ, УЗК")</f>
        <v>14-1-3297/2590  РТ, УЗК</v>
      </c>
      <c r="G569" s="125">
        <f ca="1">IFERROR(__xludf.DUMMYFUNCTION("""COMPUTED_VALUE"""),0.862)</f>
        <v>0.86199999999999999</v>
      </c>
      <c r="H569" s="125"/>
      <c r="I569" s="131">
        <f ca="1">IFERROR(__xludf.DUMMYFUNCTION("""COMPUTED_VALUE"""),1100000)</f>
        <v>1100000</v>
      </c>
    </row>
    <row r="570" spans="2:9" ht="15.75" x14ac:dyDescent="0.25">
      <c r="B570" s="123" t="str">
        <f ca="1">IFERROR(__xludf.DUMMYFUNCTION("""COMPUTED_VALUE"""),"круг")</f>
        <v>круг</v>
      </c>
      <c r="C570" s="133" t="str">
        <f ca="1">IFERROR(__xludf.DUMMYFUNCTION("""COMPUTED_VALUE"""),"13Х11Н2В2МФ-Ш (эи961ш)")</f>
        <v>13Х11Н2В2МФ-Ш (эи961ш)</v>
      </c>
      <c r="D570" s="124">
        <f ca="1">IFERROR(__xludf.DUMMYFUNCTION("""COMPUTED_VALUE"""),150)</f>
        <v>150</v>
      </c>
      <c r="E570" s="124"/>
      <c r="F570" s="112" t="str">
        <f ca="1">IFERROR(__xludf.DUMMYFUNCTION("""COMPUTED_VALUE"""),"14-1-3297/2590")</f>
        <v>14-1-3297/2590</v>
      </c>
      <c r="G570" s="125">
        <f ca="1">IFERROR(__xludf.DUMMYFUNCTION("""COMPUTED_VALUE"""),2.149)</f>
        <v>2.149</v>
      </c>
      <c r="H570" s="125"/>
      <c r="I570" s="131">
        <f ca="1">IFERROR(__xludf.DUMMYFUNCTION("""COMPUTED_VALUE"""),1100000)</f>
        <v>1100000</v>
      </c>
    </row>
    <row r="571" spans="2:9" ht="15.75" x14ac:dyDescent="0.25">
      <c r="B571" s="123" t="str">
        <f ca="1">IFERROR(__xludf.DUMMYFUNCTION("""COMPUTED_VALUE"""),"круг")</f>
        <v>круг</v>
      </c>
      <c r="C571" s="133" t="str">
        <f ca="1">IFERROR(__xludf.DUMMYFUNCTION("""COMPUTED_VALUE"""),"13Х11Н2В2МФ-Ш (эи961ш)")</f>
        <v>13Х11Н2В2МФ-Ш (эи961ш)</v>
      </c>
      <c r="D571" s="124">
        <f ca="1">IFERROR(__xludf.DUMMYFUNCTION("""COMPUTED_VALUE"""),160)</f>
        <v>160</v>
      </c>
      <c r="E571" s="124"/>
      <c r="F571" s="112" t="str">
        <f ca="1">IFERROR(__xludf.DUMMYFUNCTION("""COMPUTED_VALUE"""),"14-1-3297/2590, РТТ")</f>
        <v>14-1-3297/2590, РТТ</v>
      </c>
      <c r="G571" s="125">
        <f ca="1">IFERROR(__xludf.DUMMYFUNCTION("""COMPUTED_VALUE"""),2.477)</f>
        <v>2.4769999999999999</v>
      </c>
      <c r="H571" s="125"/>
      <c r="I571" s="131">
        <f ca="1">IFERROR(__xludf.DUMMYFUNCTION("""COMPUTED_VALUE"""),1100000)</f>
        <v>1100000</v>
      </c>
    </row>
    <row r="572" spans="2:9" ht="15.75" x14ac:dyDescent="0.25">
      <c r="B572" s="123" t="str">
        <f ca="1">IFERROR(__xludf.DUMMYFUNCTION("""COMPUTED_VALUE"""),"круг")</f>
        <v>круг</v>
      </c>
      <c r="C572" s="133" t="str">
        <f ca="1">IFERROR(__xludf.DUMMYFUNCTION("""COMPUTED_VALUE"""),"13Х11Н2В2МФ-Ш (эи961ш)")</f>
        <v>13Х11Н2В2МФ-Ш (эи961ш)</v>
      </c>
      <c r="D572" s="124">
        <f ca="1">IFERROR(__xludf.DUMMYFUNCTION("""COMPUTED_VALUE"""),170)</f>
        <v>170</v>
      </c>
      <c r="E572" s="124"/>
      <c r="F572" s="112" t="str">
        <f ca="1">IFERROR(__xludf.DUMMYFUNCTION("""COMPUTED_VALUE"""),"14-1-3297/2590  РТ, УЗК")</f>
        <v>14-1-3297/2590  РТ, УЗК</v>
      </c>
      <c r="G572" s="125">
        <f ca="1">IFERROR(__xludf.DUMMYFUNCTION("""COMPUTED_VALUE"""),1.01399999999999)</f>
        <v>1.01399999999999</v>
      </c>
      <c r="H572" s="125"/>
      <c r="I572" s="131">
        <f ca="1">IFERROR(__xludf.DUMMYFUNCTION("""COMPUTED_VALUE"""),1100000)</f>
        <v>1100000</v>
      </c>
    </row>
    <row r="573" spans="2:9" ht="15.75" x14ac:dyDescent="0.25">
      <c r="B573" s="123" t="str">
        <f ca="1">IFERROR(__xludf.DUMMYFUNCTION("""COMPUTED_VALUE"""),"круг")</f>
        <v>круг</v>
      </c>
      <c r="C573" s="133" t="str">
        <f ca="1">IFERROR(__xludf.DUMMYFUNCTION("""COMPUTED_VALUE"""),"13Х11Н2В2МФ-Ш (эи961ш)")</f>
        <v>13Х11Н2В2МФ-Ш (эи961ш)</v>
      </c>
      <c r="D573" s="124">
        <f ca="1">IFERROR(__xludf.DUMMYFUNCTION("""COMPUTED_VALUE"""),180)</f>
        <v>180</v>
      </c>
      <c r="E573" s="124"/>
      <c r="F573" s="112" t="str">
        <f ca="1">IFERROR(__xludf.DUMMYFUNCTION("""COMPUTED_VALUE"""),"14-1-3297/2590  РТ, УЗК, об, отж.")</f>
        <v>14-1-3297/2590  РТ, УЗК, об, отж.</v>
      </c>
      <c r="G573" s="125">
        <f ca="1">IFERROR(__xludf.DUMMYFUNCTION("""COMPUTED_VALUE"""),3.914)</f>
        <v>3.9140000000000001</v>
      </c>
      <c r="H573" s="125"/>
      <c r="I573" s="131">
        <f ca="1">IFERROR(__xludf.DUMMYFUNCTION("""COMPUTED_VALUE"""),925000)</f>
        <v>925000</v>
      </c>
    </row>
    <row r="574" spans="2:9" ht="15.75" x14ac:dyDescent="0.25">
      <c r="B574" s="123" t="str">
        <f ca="1">IFERROR(__xludf.DUMMYFUNCTION("""COMPUTED_VALUE"""),"круг")</f>
        <v>круг</v>
      </c>
      <c r="C574" s="133" t="str">
        <f ca="1">IFERROR(__xludf.DUMMYFUNCTION("""COMPUTED_VALUE"""),"13Х11Н2В2МФ-Ш (эи961ш)")</f>
        <v>13Х11Н2В2МФ-Ш (эи961ш)</v>
      </c>
      <c r="D574" s="124">
        <f ca="1">IFERROR(__xludf.DUMMYFUNCTION("""COMPUTED_VALUE"""),200)</f>
        <v>200</v>
      </c>
      <c r="E574" s="124"/>
      <c r="F574" s="112" t="str">
        <f ca="1">IFERROR(__xludf.DUMMYFUNCTION("""COMPUTED_VALUE"""),"14-1-3297/2590  РТ, УЗК")</f>
        <v>14-1-3297/2590  РТ, УЗК</v>
      </c>
      <c r="G574" s="125">
        <f ca="1">IFERROR(__xludf.DUMMYFUNCTION("""COMPUTED_VALUE"""),1.48099999999999)</f>
        <v>1.4809999999999901</v>
      </c>
      <c r="H574" s="125"/>
      <c r="I574" s="131">
        <f ca="1">IFERROR(__xludf.DUMMYFUNCTION("""COMPUTED_VALUE"""),1100000)</f>
        <v>1100000</v>
      </c>
    </row>
    <row r="575" spans="2:9" ht="15.75" x14ac:dyDescent="0.25">
      <c r="B575" s="123" t="str">
        <f ca="1">IFERROR(__xludf.DUMMYFUNCTION("""COMPUTED_VALUE"""),"Круг ")</f>
        <v xml:space="preserve">Круг </v>
      </c>
      <c r="C575" s="133" t="str">
        <f ca="1">IFERROR(__xludf.DUMMYFUNCTION("""COMPUTED_VALUE"""),"а25Х13Н2п       ЭИ474")</f>
        <v>а25Х13Н2п       ЭИ474</v>
      </c>
      <c r="D575" s="124">
        <f ca="1">IFERROR(__xludf.DUMMYFUNCTION("""COMPUTED_VALUE"""),10)</f>
        <v>10</v>
      </c>
      <c r="E575" s="124"/>
      <c r="F575" s="112" t="str">
        <f ca="1">IFERROR(__xludf.DUMMYFUNCTION("""COMPUTED_VALUE"""),"ту 14-1-721-73, отж, АТП")</f>
        <v>ту 14-1-721-73, отж, АТП</v>
      </c>
      <c r="G575" s="125">
        <f ca="1">IFERROR(__xludf.DUMMYFUNCTION("""COMPUTED_VALUE"""),0.0889999999999999)</f>
        <v>8.8999999999999899E-2</v>
      </c>
      <c r="H575" s="125"/>
      <c r="I575" s="131">
        <f ca="1">IFERROR(__xludf.DUMMYFUNCTION("""COMPUTED_VALUE"""),1000000)</f>
        <v>1000000</v>
      </c>
    </row>
    <row r="576" spans="2:9" ht="15.75" x14ac:dyDescent="0.25">
      <c r="B576" s="123" t="str">
        <f ca="1">IFERROR(__xludf.DUMMYFUNCTION("""COMPUTED_VALUE"""),"Круг ")</f>
        <v xml:space="preserve">Круг </v>
      </c>
      <c r="C576" s="133" t="str">
        <f ca="1">IFERROR(__xludf.DUMMYFUNCTION("""COMPUTED_VALUE"""),"а25Х13Н2п       ЭИ474")</f>
        <v>а25Х13Н2п       ЭИ474</v>
      </c>
      <c r="D576" s="124">
        <f ca="1">IFERROR(__xludf.DUMMYFUNCTION("""COMPUTED_VALUE"""),15)</f>
        <v>15</v>
      </c>
      <c r="E576" s="124"/>
      <c r="F576" s="112" t="str">
        <f ca="1">IFERROR(__xludf.DUMMYFUNCTION("""COMPUTED_VALUE"""),"ту 14-1-721-73, отж, АТП")</f>
        <v>ту 14-1-721-73, отж, АТП</v>
      </c>
      <c r="G576" s="125">
        <f ca="1">IFERROR(__xludf.DUMMYFUNCTION("""COMPUTED_VALUE"""),0.136)</f>
        <v>0.13600000000000001</v>
      </c>
      <c r="H576" s="125"/>
      <c r="I576" s="131">
        <f ca="1">IFERROR(__xludf.DUMMYFUNCTION("""COMPUTED_VALUE"""),1000000)</f>
        <v>1000000</v>
      </c>
    </row>
    <row r="577" spans="2:9" ht="15.75" x14ac:dyDescent="0.25">
      <c r="B577" s="123" t="str">
        <f ca="1">IFERROR(__xludf.DUMMYFUNCTION("""COMPUTED_VALUE"""),"Круг ")</f>
        <v xml:space="preserve">Круг </v>
      </c>
      <c r="C577" s="133" t="str">
        <f ca="1">IFERROR(__xludf.DUMMYFUNCTION("""COMPUTED_VALUE"""),"а25Х13Н2п       ЭИ474")</f>
        <v>а25Х13Н2п       ЭИ474</v>
      </c>
      <c r="D577" s="124">
        <f ca="1">IFERROR(__xludf.DUMMYFUNCTION("""COMPUTED_VALUE"""),20)</f>
        <v>20</v>
      </c>
      <c r="E577" s="124"/>
      <c r="F577" s="112" t="str">
        <f ca="1">IFERROR(__xludf.DUMMYFUNCTION("""COMPUTED_VALUE"""),"ту 14-1-721-73, отж, АТП")</f>
        <v>ту 14-1-721-73, отж, АТП</v>
      </c>
      <c r="G577" s="125">
        <f ca="1">IFERROR(__xludf.DUMMYFUNCTION("""COMPUTED_VALUE"""),0.207)</f>
        <v>0.20699999999999999</v>
      </c>
      <c r="H577" s="125"/>
      <c r="I577" s="131">
        <f ca="1">IFERROR(__xludf.DUMMYFUNCTION("""COMPUTED_VALUE"""),1000000)</f>
        <v>1000000</v>
      </c>
    </row>
    <row r="578" spans="2:9" ht="15.75" x14ac:dyDescent="0.25">
      <c r="B578" s="123" t="str">
        <f ca="1">IFERROR(__xludf.DUMMYFUNCTION("""COMPUTED_VALUE"""),"Круг ")</f>
        <v xml:space="preserve">Круг </v>
      </c>
      <c r="C578" s="133" t="str">
        <f ca="1">IFERROR(__xludf.DUMMYFUNCTION("""COMPUTED_VALUE"""),"а25Х13Н2п       ЭИ474")</f>
        <v>а25Х13Н2п       ЭИ474</v>
      </c>
      <c r="D578" s="124">
        <f ca="1">IFERROR(__xludf.DUMMYFUNCTION("""COMPUTED_VALUE"""),20)</f>
        <v>20</v>
      </c>
      <c r="E578" s="124"/>
      <c r="F578" s="112" t="str">
        <f ca="1">IFERROR(__xludf.DUMMYFUNCTION("""COMPUTED_VALUE"""),"ту 14-1-721-73, отж, АТП")</f>
        <v>ту 14-1-721-73, отж, АТП</v>
      </c>
      <c r="G578" s="125">
        <f ca="1">IFERROR(__xludf.DUMMYFUNCTION("""COMPUTED_VALUE"""),0.556)</f>
        <v>0.55600000000000005</v>
      </c>
      <c r="H578" s="125"/>
      <c r="I578" s="131">
        <f ca="1">IFERROR(__xludf.DUMMYFUNCTION("""COMPUTED_VALUE"""),1000000)</f>
        <v>1000000</v>
      </c>
    </row>
    <row r="579" spans="2:9" ht="15.75" x14ac:dyDescent="0.25">
      <c r="B579" s="123" t="str">
        <f ca="1">IFERROR(__xludf.DUMMYFUNCTION("""COMPUTED_VALUE"""),"Круг ")</f>
        <v xml:space="preserve">Круг </v>
      </c>
      <c r="C579" s="133" t="str">
        <f ca="1">IFERROR(__xludf.DUMMYFUNCTION("""COMPUTED_VALUE"""),"а25Х13Н2п       ЭИ474")</f>
        <v>а25Х13Н2п       ЭИ474</v>
      </c>
      <c r="D579" s="124">
        <f ca="1">IFERROR(__xludf.DUMMYFUNCTION("""COMPUTED_VALUE"""),25)</f>
        <v>25</v>
      </c>
      <c r="E579" s="124"/>
      <c r="F579" s="112" t="str">
        <f ca="1">IFERROR(__xludf.DUMMYFUNCTION("""COMPUTED_VALUE"""),"ту 14-1-721-73, отж, АТП")</f>
        <v>ту 14-1-721-73, отж, АТП</v>
      </c>
      <c r="G579" s="125">
        <f ca="1">IFERROR(__xludf.DUMMYFUNCTION("""COMPUTED_VALUE"""),0.577)</f>
        <v>0.57699999999999996</v>
      </c>
      <c r="H579" s="125"/>
      <c r="I579" s="131">
        <f ca="1">IFERROR(__xludf.DUMMYFUNCTION("""COMPUTED_VALUE"""),1000000)</f>
        <v>1000000</v>
      </c>
    </row>
    <row r="580" spans="2:9" ht="15.75" x14ac:dyDescent="0.25">
      <c r="B580" s="123" t="str">
        <f ca="1">IFERROR(__xludf.DUMMYFUNCTION("""COMPUTED_VALUE"""),"Круг ")</f>
        <v xml:space="preserve">Круг </v>
      </c>
      <c r="C580" s="133" t="str">
        <f ca="1">IFERROR(__xludf.DUMMYFUNCTION("""COMPUTED_VALUE"""),"а25Х13Н2п       ЭИ474")</f>
        <v>а25Х13Н2п       ЭИ474</v>
      </c>
      <c r="D580" s="124">
        <f ca="1">IFERROR(__xludf.DUMMYFUNCTION("""COMPUTED_VALUE"""),30)</f>
        <v>30</v>
      </c>
      <c r="E580" s="124"/>
      <c r="F580" s="112" t="str">
        <f ca="1">IFERROR(__xludf.DUMMYFUNCTION("""COMPUTED_VALUE"""),"ту 14-1-721-73, отж, АТП")</f>
        <v>ту 14-1-721-73, отж, АТП</v>
      </c>
      <c r="G580" s="125">
        <f ca="1">IFERROR(__xludf.DUMMYFUNCTION("""COMPUTED_VALUE"""),1.91)</f>
        <v>1.91</v>
      </c>
      <c r="H580" s="125"/>
      <c r="I580" s="131">
        <f ca="1">IFERROR(__xludf.DUMMYFUNCTION("""COMPUTED_VALUE"""),1000000)</f>
        <v>1000000</v>
      </c>
    </row>
    <row r="581" spans="2:9" ht="15.75" x14ac:dyDescent="0.25">
      <c r="B581" s="123" t="str">
        <f ca="1">IFERROR(__xludf.DUMMYFUNCTION("""COMPUTED_VALUE"""),"Круг ")</f>
        <v xml:space="preserve">Круг </v>
      </c>
      <c r="C581" s="133" t="str">
        <f ca="1">IFERROR(__xludf.DUMMYFUNCTION("""COMPUTED_VALUE"""),"а25Х13Н2п       ЭИ475")</f>
        <v>а25Х13Н2п       ЭИ475</v>
      </c>
      <c r="D581" s="124">
        <f ca="1">IFERROR(__xludf.DUMMYFUNCTION("""COMPUTED_VALUE"""),35)</f>
        <v>35</v>
      </c>
      <c r="E581" s="124"/>
      <c r="F581" s="112" t="str">
        <f ca="1">IFERROR(__xludf.DUMMYFUNCTION("""COMPUTED_VALUE"""),"ту 14-1-721-73, отж, АТП")</f>
        <v>ту 14-1-721-73, отж, АТП</v>
      </c>
      <c r="G581" s="125">
        <f ca="1">IFERROR(__xludf.DUMMYFUNCTION("""COMPUTED_VALUE"""),1.016)</f>
        <v>1.016</v>
      </c>
      <c r="H581" s="125"/>
      <c r="I581" s="131">
        <f ca="1">IFERROR(__xludf.DUMMYFUNCTION("""COMPUTED_VALUE"""),1000000)</f>
        <v>1000000</v>
      </c>
    </row>
    <row r="582" spans="2:9" ht="15.75" x14ac:dyDescent="0.25">
      <c r="B582" s="123" t="str">
        <f ca="1">IFERROR(__xludf.DUMMYFUNCTION("""COMPUTED_VALUE"""),"Круг ")</f>
        <v xml:space="preserve">Круг </v>
      </c>
      <c r="C582" s="133" t="str">
        <f ca="1">IFERROR(__xludf.DUMMYFUNCTION("""COMPUTED_VALUE"""),"а25Х13Н2п       ЭИ476")</f>
        <v>а25Х13Н2п       ЭИ476</v>
      </c>
      <c r="D582" s="124">
        <f ca="1">IFERROR(__xludf.DUMMYFUNCTION("""COMPUTED_VALUE"""),35)</f>
        <v>35</v>
      </c>
      <c r="E582" s="124"/>
      <c r="F582" s="112" t="str">
        <f ca="1">IFERROR(__xludf.DUMMYFUNCTION("""COMPUTED_VALUE"""),"ту 14-1-721-73, отж, АТП")</f>
        <v>ту 14-1-721-73, отж, АТП</v>
      </c>
      <c r="G582" s="125">
        <f ca="1">IFERROR(__xludf.DUMMYFUNCTION("""COMPUTED_VALUE"""),0.44)</f>
        <v>0.44</v>
      </c>
      <c r="H582" s="125"/>
      <c r="I582" s="131">
        <f ca="1">IFERROR(__xludf.DUMMYFUNCTION("""COMPUTED_VALUE"""),1000000)</f>
        <v>1000000</v>
      </c>
    </row>
    <row r="583" spans="2:9" ht="15.75" x14ac:dyDescent="0.25">
      <c r="B583" s="123" t="str">
        <f ca="1">IFERROR(__xludf.DUMMYFUNCTION("""COMPUTED_VALUE"""),"Круг ")</f>
        <v xml:space="preserve">Круг </v>
      </c>
      <c r="C583" s="133" t="str">
        <f ca="1">IFERROR(__xludf.DUMMYFUNCTION("""COMPUTED_VALUE"""),"а25Х13Н2п       ЭИ474")</f>
        <v>а25Х13Н2п       ЭИ474</v>
      </c>
      <c r="D583" s="124">
        <f ca="1">IFERROR(__xludf.DUMMYFUNCTION("""COMPUTED_VALUE"""),45)</f>
        <v>45</v>
      </c>
      <c r="E583" s="124"/>
      <c r="F583" s="112" t="str">
        <f ca="1">IFERROR(__xludf.DUMMYFUNCTION("""COMPUTED_VALUE"""),"ту 14-1-721-73, отж, АТП")</f>
        <v>ту 14-1-721-73, отж, АТП</v>
      </c>
      <c r="G583" s="125">
        <f ca="1">IFERROR(__xludf.DUMMYFUNCTION("""COMPUTED_VALUE"""),0.797)</f>
        <v>0.79700000000000004</v>
      </c>
      <c r="H583" s="125"/>
      <c r="I583" s="131">
        <f ca="1">IFERROR(__xludf.DUMMYFUNCTION("""COMPUTED_VALUE"""),1000000)</f>
        <v>1000000</v>
      </c>
    </row>
    <row r="584" spans="2:9" ht="15.75" x14ac:dyDescent="0.25">
      <c r="B584" s="123" t="str">
        <f ca="1">IFERROR(__xludf.DUMMYFUNCTION("""COMPUTED_VALUE"""),"Круг ")</f>
        <v xml:space="preserve">Круг </v>
      </c>
      <c r="C584" s="133" t="str">
        <f ca="1">IFERROR(__xludf.DUMMYFUNCTION("""COMPUTED_VALUE"""),"а25Х13Н2п       ЭИ474")</f>
        <v>а25Х13Н2п       ЭИ474</v>
      </c>
      <c r="D584" s="124">
        <f ca="1">IFERROR(__xludf.DUMMYFUNCTION("""COMPUTED_VALUE"""),45)</f>
        <v>45</v>
      </c>
      <c r="E584" s="124"/>
      <c r="F584" s="112" t="str">
        <f ca="1">IFERROR(__xludf.DUMMYFUNCTION("""COMPUTED_VALUE"""),"ту 14-1-721-73, отж, АТП")</f>
        <v>ту 14-1-721-73, отж, АТП</v>
      </c>
      <c r="G584" s="125">
        <f ca="1">IFERROR(__xludf.DUMMYFUNCTION("""COMPUTED_VALUE"""),0.352)</f>
        <v>0.35199999999999998</v>
      </c>
      <c r="H584" s="125"/>
      <c r="I584" s="131">
        <f ca="1">IFERROR(__xludf.DUMMYFUNCTION("""COMPUTED_VALUE"""),1000000)</f>
        <v>1000000</v>
      </c>
    </row>
    <row r="585" spans="2:9" ht="15.75" x14ac:dyDescent="0.25">
      <c r="B585" s="123" t="str">
        <f ca="1">IFERROR(__xludf.DUMMYFUNCTION("""COMPUTED_VALUE"""),"Круг ")</f>
        <v xml:space="preserve">Круг </v>
      </c>
      <c r="C585" s="133" t="str">
        <f ca="1">IFERROR(__xludf.DUMMYFUNCTION("""COMPUTED_VALUE"""),"а25Х13Н2п       ЭИ474")</f>
        <v>а25Х13Н2п       ЭИ474</v>
      </c>
      <c r="D585" s="124">
        <f ca="1">IFERROR(__xludf.DUMMYFUNCTION("""COMPUTED_VALUE"""),50)</f>
        <v>50</v>
      </c>
      <c r="E585" s="124"/>
      <c r="F585" s="112" t="str">
        <f ca="1">IFERROR(__xludf.DUMMYFUNCTION("""COMPUTED_VALUE"""),"ту 14-1-721-73, отж, АТП")</f>
        <v>ту 14-1-721-73, отж, АТП</v>
      </c>
      <c r="G585" s="125">
        <f ca="1">IFERROR(__xludf.DUMMYFUNCTION("""COMPUTED_VALUE"""),0.885999999999999)</f>
        <v>0.88599999999999901</v>
      </c>
      <c r="H585" s="125"/>
      <c r="I585" s="131">
        <f ca="1">IFERROR(__xludf.DUMMYFUNCTION("""COMPUTED_VALUE"""),1000000)</f>
        <v>1000000</v>
      </c>
    </row>
    <row r="586" spans="2:9" ht="15.75" x14ac:dyDescent="0.25">
      <c r="B586" s="123" t="str">
        <f ca="1">IFERROR(__xludf.DUMMYFUNCTION("""COMPUTED_VALUE"""),"Круг ")</f>
        <v xml:space="preserve">Круг </v>
      </c>
      <c r="C586" s="133" t="str">
        <f ca="1">IFERROR(__xludf.DUMMYFUNCTION("""COMPUTED_VALUE"""),"а25Х13Н2п       ЭИ474")</f>
        <v>а25Х13Н2п       ЭИ474</v>
      </c>
      <c r="D586" s="124">
        <f ca="1">IFERROR(__xludf.DUMMYFUNCTION("""COMPUTED_VALUE"""),56)</f>
        <v>56</v>
      </c>
      <c r="E586" s="124"/>
      <c r="F586" s="112" t="str">
        <f ca="1">IFERROR(__xludf.DUMMYFUNCTION("""COMPUTED_VALUE"""),"ту 14-1-721-73, отж, АТП")</f>
        <v>ту 14-1-721-73, отж, АТП</v>
      </c>
      <c r="G586" s="125">
        <f ca="1">IFERROR(__xludf.DUMMYFUNCTION("""COMPUTED_VALUE"""),0.173)</f>
        <v>0.17299999999999999</v>
      </c>
      <c r="H586" s="125"/>
      <c r="I586" s="131">
        <f ca="1">IFERROR(__xludf.DUMMYFUNCTION("""COMPUTED_VALUE"""),1000000)</f>
        <v>1000000</v>
      </c>
    </row>
    <row r="587" spans="2:9" ht="15.75" x14ac:dyDescent="0.25">
      <c r="B587" s="123" t="str">
        <f ca="1">IFERROR(__xludf.DUMMYFUNCTION("""COMPUTED_VALUE"""),"Круг ")</f>
        <v xml:space="preserve">Круг </v>
      </c>
      <c r="C587" s="133" t="str">
        <f ca="1">IFERROR(__xludf.DUMMYFUNCTION("""COMPUTED_VALUE"""),"а25Х13Н2п       ЭИ474")</f>
        <v>а25Х13Н2п       ЭИ474</v>
      </c>
      <c r="D587" s="124">
        <f ca="1">IFERROR(__xludf.DUMMYFUNCTION("""COMPUTED_VALUE"""),56)</f>
        <v>56</v>
      </c>
      <c r="E587" s="124"/>
      <c r="F587" s="112" t="str">
        <f ca="1">IFERROR(__xludf.DUMMYFUNCTION("""COMPUTED_VALUE"""),"ту 14-1-721-73, отж, АТП")</f>
        <v>ту 14-1-721-73, отж, АТП</v>
      </c>
      <c r="G587" s="125">
        <f ca="1">IFERROR(__xludf.DUMMYFUNCTION("""COMPUTED_VALUE"""),0.46)</f>
        <v>0.46</v>
      </c>
      <c r="H587" s="125"/>
      <c r="I587" s="131">
        <f ca="1">IFERROR(__xludf.DUMMYFUNCTION("""COMPUTED_VALUE"""),1000000)</f>
        <v>1000000</v>
      </c>
    </row>
    <row r="588" spans="2:9" ht="15.75" x14ac:dyDescent="0.25">
      <c r="B588" s="123" t="str">
        <f ca="1">IFERROR(__xludf.DUMMYFUNCTION("""COMPUTED_VALUE"""),"Круг ")</f>
        <v xml:space="preserve">Круг </v>
      </c>
      <c r="C588" s="133" t="str">
        <f ca="1">IFERROR(__xludf.DUMMYFUNCTION("""COMPUTED_VALUE"""),"а25Х13Н2п       ЭИ474")</f>
        <v>а25Х13Н2п       ЭИ474</v>
      </c>
      <c r="D588" s="124">
        <f ca="1">IFERROR(__xludf.DUMMYFUNCTION("""COMPUTED_VALUE"""),60)</f>
        <v>60</v>
      </c>
      <c r="E588" s="124"/>
      <c r="F588" s="112" t="str">
        <f ca="1">IFERROR(__xludf.DUMMYFUNCTION("""COMPUTED_VALUE"""),"ту 14-1-721-73, отж, АТП")</f>
        <v>ту 14-1-721-73, отж, АТП</v>
      </c>
      <c r="G588" s="125">
        <f ca="1">IFERROR(__xludf.DUMMYFUNCTION("""COMPUTED_VALUE"""),0.35)</f>
        <v>0.35</v>
      </c>
      <c r="H588" s="125"/>
      <c r="I588" s="131">
        <f ca="1">IFERROR(__xludf.DUMMYFUNCTION("""COMPUTED_VALUE"""),1000000)</f>
        <v>1000000</v>
      </c>
    </row>
    <row r="589" spans="2:9" ht="15.75" x14ac:dyDescent="0.25">
      <c r="B589" s="123" t="str">
        <f ca="1">IFERROR(__xludf.DUMMYFUNCTION("""COMPUTED_VALUE"""),"Круг ")</f>
        <v xml:space="preserve">Круг </v>
      </c>
      <c r="C589" s="133" t="str">
        <f ca="1">IFERROR(__xludf.DUMMYFUNCTION("""COMPUTED_VALUE"""),"а25Х13Н2п       ЭИ474")</f>
        <v>а25Х13Н2п       ЭИ474</v>
      </c>
      <c r="D589" s="124">
        <f ca="1">IFERROR(__xludf.DUMMYFUNCTION("""COMPUTED_VALUE"""),70)</f>
        <v>70</v>
      </c>
      <c r="E589" s="124"/>
      <c r="F589" s="112" t="str">
        <f ca="1">IFERROR(__xludf.DUMMYFUNCTION("""COMPUTED_VALUE"""),"ту 14-1-721-73, отж, АТП")</f>
        <v>ту 14-1-721-73, отж, АТП</v>
      </c>
      <c r="G589" s="125">
        <f ca="1">IFERROR(__xludf.DUMMYFUNCTION("""COMPUTED_VALUE"""),0.285)</f>
        <v>0.28499999999999998</v>
      </c>
      <c r="H589" s="125"/>
      <c r="I589" s="131">
        <f ca="1">IFERROR(__xludf.DUMMYFUNCTION("""COMPUTED_VALUE"""),1000000)</f>
        <v>1000000</v>
      </c>
    </row>
    <row r="590" spans="2:9" ht="15.75" x14ac:dyDescent="0.25">
      <c r="B590" s="123" t="str">
        <f ca="1">IFERROR(__xludf.DUMMYFUNCTION("""COMPUTED_VALUE"""),"Круг ")</f>
        <v xml:space="preserve">Круг </v>
      </c>
      <c r="C590" s="133" t="str">
        <f ca="1">IFERROR(__xludf.DUMMYFUNCTION("""COMPUTED_VALUE"""),"а25Х13Н2п       ЭИ474")</f>
        <v>а25Х13Н2п       ЭИ474</v>
      </c>
      <c r="D590" s="124">
        <f ca="1">IFERROR(__xludf.DUMMYFUNCTION("""COMPUTED_VALUE"""),70)</f>
        <v>70</v>
      </c>
      <c r="E590" s="124"/>
      <c r="F590" s="112" t="str">
        <f ca="1">IFERROR(__xludf.DUMMYFUNCTION("""COMPUTED_VALUE"""),"ту 14-1-721-73, отж, АТП")</f>
        <v>ту 14-1-721-73, отж, АТП</v>
      </c>
      <c r="G590" s="125">
        <f ca="1">IFERROR(__xludf.DUMMYFUNCTION("""COMPUTED_VALUE"""),1.585)</f>
        <v>1.585</v>
      </c>
      <c r="H590" s="125"/>
      <c r="I590" s="131">
        <f ca="1">IFERROR(__xludf.DUMMYFUNCTION("""COMPUTED_VALUE"""),1000000)</f>
        <v>1000000</v>
      </c>
    </row>
    <row r="591" spans="2:9" ht="15.75" x14ac:dyDescent="0.25">
      <c r="B591" s="123" t="str">
        <f ca="1">IFERROR(__xludf.DUMMYFUNCTION("""COMPUTED_VALUE"""),"Круг ")</f>
        <v xml:space="preserve">Круг </v>
      </c>
      <c r="C591" s="133" t="str">
        <f ca="1">IFERROR(__xludf.DUMMYFUNCTION("""COMPUTED_VALUE"""),"а25Х13Н2п       ЭИ474")</f>
        <v>а25Х13Н2п       ЭИ474</v>
      </c>
      <c r="D591" s="124">
        <f ca="1">IFERROR(__xludf.DUMMYFUNCTION("""COMPUTED_VALUE"""),80)</f>
        <v>80</v>
      </c>
      <c r="E591" s="124"/>
      <c r="F591" s="112" t="str">
        <f ca="1">IFERROR(__xludf.DUMMYFUNCTION("""COMPUTED_VALUE"""),"ту 14-1-721-73, отж, АТП")</f>
        <v>ту 14-1-721-73, отж, АТП</v>
      </c>
      <c r="G591" s="125">
        <f ca="1">IFERROR(__xludf.DUMMYFUNCTION("""COMPUTED_VALUE"""),0.413)</f>
        <v>0.41299999999999998</v>
      </c>
      <c r="H591" s="125"/>
      <c r="I591" s="131">
        <f ca="1">IFERROR(__xludf.DUMMYFUNCTION("""COMPUTED_VALUE"""),1100000)</f>
        <v>1100000</v>
      </c>
    </row>
    <row r="592" spans="2:9" ht="15.75" x14ac:dyDescent="0.25">
      <c r="B592" s="123" t="str">
        <f ca="1">IFERROR(__xludf.DUMMYFUNCTION("""COMPUTED_VALUE"""),"Круг ")</f>
        <v xml:space="preserve">Круг </v>
      </c>
      <c r="C592" s="133" t="str">
        <f ca="1">IFERROR(__xludf.DUMMYFUNCTION("""COMPUTED_VALUE"""),"а25Х13Н2п       ЭИ474")</f>
        <v>а25Х13Н2п       ЭИ474</v>
      </c>
      <c r="D592" s="124">
        <f ca="1">IFERROR(__xludf.DUMMYFUNCTION("""COMPUTED_VALUE"""),80)</f>
        <v>80</v>
      </c>
      <c r="E592" s="124"/>
      <c r="F592" s="112" t="str">
        <f ca="1">IFERROR(__xludf.DUMMYFUNCTION("""COMPUTED_VALUE"""),"ту 14-1-721-73, отж, АТП")</f>
        <v>ту 14-1-721-73, отж, АТП</v>
      </c>
      <c r="G592" s="125">
        <f ca="1">IFERROR(__xludf.DUMMYFUNCTION("""COMPUTED_VALUE"""),0.67)</f>
        <v>0.67</v>
      </c>
      <c r="H592" s="125"/>
      <c r="I592" s="131">
        <f ca="1">IFERROR(__xludf.DUMMYFUNCTION("""COMPUTED_VALUE"""),1100000)</f>
        <v>1100000</v>
      </c>
    </row>
    <row r="593" spans="2:9" ht="15.75" x14ac:dyDescent="0.25">
      <c r="B593" s="123" t="str">
        <f ca="1">IFERROR(__xludf.DUMMYFUNCTION("""COMPUTED_VALUE"""),"Круг ")</f>
        <v xml:space="preserve">Круг </v>
      </c>
      <c r="C593" s="133" t="str">
        <f ca="1">IFERROR(__xludf.DUMMYFUNCTION("""COMPUTED_VALUE"""),"а25Х13Н2п       ЭИ474")</f>
        <v>а25Х13Н2п       ЭИ474</v>
      </c>
      <c r="D593" s="124">
        <f ca="1">IFERROR(__xludf.DUMMYFUNCTION("""COMPUTED_VALUE"""),80)</f>
        <v>80</v>
      </c>
      <c r="E593" s="124"/>
      <c r="F593" s="112" t="str">
        <f ca="1">IFERROR(__xludf.DUMMYFUNCTION("""COMPUTED_VALUE"""),"ту 14-1-721-73, отж, АТП")</f>
        <v>ту 14-1-721-73, отж, АТП</v>
      </c>
      <c r="G593" s="125">
        <f ca="1">IFERROR(__xludf.DUMMYFUNCTION("""COMPUTED_VALUE"""),0.175)</f>
        <v>0.17499999999999999</v>
      </c>
      <c r="H593" s="125"/>
      <c r="I593" s="131">
        <f ca="1">IFERROR(__xludf.DUMMYFUNCTION("""COMPUTED_VALUE"""),1100000)</f>
        <v>1100000</v>
      </c>
    </row>
    <row r="594" spans="2:9" ht="15.75" x14ac:dyDescent="0.25">
      <c r="B594" s="123" t="str">
        <f ca="1">IFERROR(__xludf.DUMMYFUNCTION("""COMPUTED_VALUE"""),"Круг ")</f>
        <v xml:space="preserve">Круг </v>
      </c>
      <c r="C594" s="133" t="str">
        <f ca="1">IFERROR(__xludf.DUMMYFUNCTION("""COMPUTED_VALUE"""),"а25Х13Н2п       ЭИ474")</f>
        <v>а25Х13Н2п       ЭИ474</v>
      </c>
      <c r="D594" s="124">
        <f ca="1">IFERROR(__xludf.DUMMYFUNCTION("""COMPUTED_VALUE"""),90)</f>
        <v>90</v>
      </c>
      <c r="E594" s="124"/>
      <c r="F594" s="112" t="str">
        <f ca="1">IFERROR(__xludf.DUMMYFUNCTION("""COMPUTED_VALUE"""),"ту 14-1-721-73, отж, АТП ков")</f>
        <v>ту 14-1-721-73, отж, АТП ков</v>
      </c>
      <c r="G594" s="125">
        <f ca="1">IFERROR(__xludf.DUMMYFUNCTION("""COMPUTED_VALUE"""),0.08)</f>
        <v>0.08</v>
      </c>
      <c r="H594" s="125"/>
      <c r="I594" s="131">
        <f ca="1">IFERROR(__xludf.DUMMYFUNCTION("""COMPUTED_VALUE"""),1000000)</f>
        <v>1000000</v>
      </c>
    </row>
    <row r="595" spans="2:9" ht="15.75" x14ac:dyDescent="0.25">
      <c r="B595" s="123" t="str">
        <f ca="1">IFERROR(__xludf.DUMMYFUNCTION("""COMPUTED_VALUE"""),"Круг ")</f>
        <v xml:space="preserve">Круг </v>
      </c>
      <c r="C595" s="133" t="str">
        <f ca="1">IFERROR(__xludf.DUMMYFUNCTION("""COMPUTED_VALUE"""),"а25Х13Н2п       ЭИ474")</f>
        <v>а25Х13Н2п       ЭИ474</v>
      </c>
      <c r="D595" s="124">
        <f ca="1">IFERROR(__xludf.DUMMYFUNCTION("""COMPUTED_VALUE"""),90)</f>
        <v>90</v>
      </c>
      <c r="E595" s="124"/>
      <c r="F595" s="112" t="str">
        <f ca="1">IFERROR(__xludf.DUMMYFUNCTION("""COMPUTED_VALUE"""),"ту 14-1-721-73, отж, АТП ков")</f>
        <v>ту 14-1-721-73, отж, АТП ков</v>
      </c>
      <c r="G595" s="125">
        <f ca="1">IFERROR(__xludf.DUMMYFUNCTION("""COMPUTED_VALUE"""),0.55)</f>
        <v>0.55000000000000004</v>
      </c>
      <c r="H595" s="125"/>
      <c r="I595" s="131">
        <f ca="1">IFERROR(__xludf.DUMMYFUNCTION("""COMPUTED_VALUE"""),1000000)</f>
        <v>1000000</v>
      </c>
    </row>
    <row r="596" spans="2:9" ht="15.75" x14ac:dyDescent="0.25">
      <c r="B596" s="123" t="str">
        <f ca="1">IFERROR(__xludf.DUMMYFUNCTION("""COMPUTED_VALUE"""),"Круг ")</f>
        <v xml:space="preserve">Круг </v>
      </c>
      <c r="C596" s="133" t="str">
        <f ca="1">IFERROR(__xludf.DUMMYFUNCTION("""COMPUTED_VALUE"""),"а25Х13Н2п       ЭИ474")</f>
        <v>а25Х13Н2п       ЭИ474</v>
      </c>
      <c r="D596" s="124">
        <f ca="1">IFERROR(__xludf.DUMMYFUNCTION("""COMPUTED_VALUE"""),90)</f>
        <v>90</v>
      </c>
      <c r="E596" s="124"/>
      <c r="F596" s="112" t="str">
        <f ca="1">IFERROR(__xludf.DUMMYFUNCTION("""COMPUTED_VALUE"""),"ту 14-1-721-73, отж, АТП ков")</f>
        <v>ту 14-1-721-73, отж, АТП ков</v>
      </c>
      <c r="G596" s="125">
        <f ca="1">IFERROR(__xludf.DUMMYFUNCTION("""COMPUTED_VALUE"""),0.14)</f>
        <v>0.14000000000000001</v>
      </c>
      <c r="H596" s="125"/>
      <c r="I596" s="131">
        <f ca="1">IFERROR(__xludf.DUMMYFUNCTION("""COMPUTED_VALUE"""),1000000)</f>
        <v>1000000</v>
      </c>
    </row>
    <row r="597" spans="2:9" ht="15.75" x14ac:dyDescent="0.25">
      <c r="B597" s="123" t="str">
        <f ca="1">IFERROR(__xludf.DUMMYFUNCTION("""COMPUTED_VALUE"""),"Круг ")</f>
        <v xml:space="preserve">Круг </v>
      </c>
      <c r="C597" s="133" t="str">
        <f ca="1">IFERROR(__xludf.DUMMYFUNCTION("""COMPUTED_VALUE"""),"а25Х13Н2п       ЭИ474")</f>
        <v>а25Х13Н2п       ЭИ474</v>
      </c>
      <c r="D597" s="124">
        <f ca="1">IFERROR(__xludf.DUMMYFUNCTION("""COMPUTED_VALUE"""),90)</f>
        <v>90</v>
      </c>
      <c r="E597" s="124"/>
      <c r="F597" s="112" t="str">
        <f ca="1">IFERROR(__xludf.DUMMYFUNCTION("""COMPUTED_VALUE"""),"ту 14-1-721-73, отж, АТП ков")</f>
        <v>ту 14-1-721-73, отж, АТП ков</v>
      </c>
      <c r="G597" s="125">
        <f ca="1">IFERROR(__xludf.DUMMYFUNCTION("""COMPUTED_VALUE"""),0.79)</f>
        <v>0.79</v>
      </c>
      <c r="H597" s="125"/>
      <c r="I597" s="131">
        <f ca="1">IFERROR(__xludf.DUMMYFUNCTION("""COMPUTED_VALUE"""),1000000)</f>
        <v>1000000</v>
      </c>
    </row>
    <row r="598" spans="2:9" ht="15.75" x14ac:dyDescent="0.25">
      <c r="B598" s="123" t="str">
        <f ca="1">IFERROR(__xludf.DUMMYFUNCTION("""COMPUTED_VALUE"""),"Круг ")</f>
        <v xml:space="preserve">Круг </v>
      </c>
      <c r="C598" s="133" t="str">
        <f ca="1">IFERROR(__xludf.DUMMYFUNCTION("""COMPUTED_VALUE"""),"а25Х13Н2п       ЭИ474")</f>
        <v>а25Х13Н2п       ЭИ474</v>
      </c>
      <c r="D598" s="124">
        <f ca="1">IFERROR(__xludf.DUMMYFUNCTION("""COMPUTED_VALUE"""),100)</f>
        <v>100</v>
      </c>
      <c r="E598" s="124"/>
      <c r="F598" s="112" t="str">
        <f ca="1">IFERROR(__xludf.DUMMYFUNCTION("""COMPUTED_VALUE"""),"ту 14-1-721-73, отж, АТП")</f>
        <v>ту 14-1-721-73, отж, АТП</v>
      </c>
      <c r="G598" s="125">
        <f ca="1">IFERROR(__xludf.DUMMYFUNCTION("""COMPUTED_VALUE"""),0.423)</f>
        <v>0.42299999999999999</v>
      </c>
      <c r="H598" s="125"/>
      <c r="I598" s="131">
        <f ca="1">IFERROR(__xludf.DUMMYFUNCTION("""COMPUTED_VALUE"""),1000000)</f>
        <v>1000000</v>
      </c>
    </row>
    <row r="599" spans="2:9" ht="15.75" x14ac:dyDescent="0.25">
      <c r="B599" s="123" t="str">
        <f ca="1">IFERROR(__xludf.DUMMYFUNCTION("""COMPUTED_VALUE"""),"Круг ")</f>
        <v xml:space="preserve">Круг </v>
      </c>
      <c r="C599" s="133" t="str">
        <f ca="1">IFERROR(__xludf.DUMMYFUNCTION("""COMPUTED_VALUE"""),"а25Х13Н2п       ЭИ474")</f>
        <v>а25Х13Н2п       ЭИ474</v>
      </c>
      <c r="D599" s="124">
        <f ca="1">IFERROR(__xludf.DUMMYFUNCTION("""COMPUTED_VALUE"""),110)</f>
        <v>110</v>
      </c>
      <c r="E599" s="124"/>
      <c r="F599" s="112" t="str">
        <f ca="1">IFERROR(__xludf.DUMMYFUNCTION("""COMPUTED_VALUE"""),"ту 14-1-721-73, отж, АТП")</f>
        <v>ту 14-1-721-73, отж, АТП</v>
      </c>
      <c r="G599" s="125">
        <f ca="1">IFERROR(__xludf.DUMMYFUNCTION("""COMPUTED_VALUE"""),0.496)</f>
        <v>0.496</v>
      </c>
      <c r="H599" s="125"/>
      <c r="I599" s="131">
        <f ca="1">IFERROR(__xludf.DUMMYFUNCTION("""COMPUTED_VALUE"""),1000000)</f>
        <v>1000000</v>
      </c>
    </row>
    <row r="600" spans="2:9" ht="15.75" x14ac:dyDescent="0.25">
      <c r="B600" s="123" t="str">
        <f ca="1">IFERROR(__xludf.DUMMYFUNCTION("""COMPUTED_VALUE"""),"Круг ")</f>
        <v xml:space="preserve">Круг </v>
      </c>
      <c r="C600" s="133" t="str">
        <f ca="1">IFERROR(__xludf.DUMMYFUNCTION("""COMPUTED_VALUE"""),"а25Х13Н2п       ЭИ474")</f>
        <v>а25Х13Н2п       ЭИ474</v>
      </c>
      <c r="D600" s="124">
        <f ca="1">IFERROR(__xludf.DUMMYFUNCTION("""COMPUTED_VALUE"""),120)</f>
        <v>120</v>
      </c>
      <c r="E600" s="124"/>
      <c r="F600" s="112" t="str">
        <f ca="1">IFERROR(__xludf.DUMMYFUNCTION("""COMPUTED_VALUE"""),"ту 14-1-721-73, отж, АТП, ков")</f>
        <v>ту 14-1-721-73, отж, АТП, ков</v>
      </c>
      <c r="G600" s="125">
        <f ca="1">IFERROR(__xludf.DUMMYFUNCTION("""COMPUTED_VALUE"""),0.16)</f>
        <v>0.16</v>
      </c>
      <c r="H600" s="125"/>
      <c r="I600" s="131">
        <f ca="1">IFERROR(__xludf.DUMMYFUNCTION("""COMPUTED_VALUE"""),1000000)</f>
        <v>1000000</v>
      </c>
    </row>
    <row r="601" spans="2:9" ht="15.75" x14ac:dyDescent="0.25">
      <c r="B601" s="123" t="str">
        <f ca="1">IFERROR(__xludf.DUMMYFUNCTION("""COMPUTED_VALUE"""),"Круг ")</f>
        <v xml:space="preserve">Круг </v>
      </c>
      <c r="C601" s="133" t="str">
        <f ca="1">IFERROR(__xludf.DUMMYFUNCTION("""COMPUTED_VALUE"""),"а25Х13Н2п       ЭИ474")</f>
        <v>а25Х13Н2п       ЭИ474</v>
      </c>
      <c r="D601" s="124">
        <f ca="1">IFERROR(__xludf.DUMMYFUNCTION("""COMPUTED_VALUE"""),120)</f>
        <v>120</v>
      </c>
      <c r="E601" s="124"/>
      <c r="F601" s="112" t="str">
        <f ca="1">IFERROR(__xludf.DUMMYFUNCTION("""COMPUTED_VALUE"""),"ту 14-1-721-73, отж, АТП, ков")</f>
        <v>ту 14-1-721-73, отж, АТП, ков</v>
      </c>
      <c r="G601" s="125">
        <f ca="1">IFERROR(__xludf.DUMMYFUNCTION("""COMPUTED_VALUE"""),1.645)</f>
        <v>1.645</v>
      </c>
      <c r="H601" s="125"/>
      <c r="I601" s="131">
        <f ca="1">IFERROR(__xludf.DUMMYFUNCTION("""COMPUTED_VALUE"""),1000000)</f>
        <v>1000000</v>
      </c>
    </row>
    <row r="602" spans="2:9" ht="15.75" x14ac:dyDescent="0.25">
      <c r="B602" s="123" t="str">
        <f ca="1">IFERROR(__xludf.DUMMYFUNCTION("""COMPUTED_VALUE"""),"Круг ков.")</f>
        <v>Круг ков.</v>
      </c>
      <c r="C602" s="133" t="str">
        <f ca="1">IFERROR(__xludf.DUMMYFUNCTION("""COMPUTED_VALUE"""),"а25Х13Н2п       ЭИ474")</f>
        <v>а25Х13Н2п       ЭИ474</v>
      </c>
      <c r="D602" s="124">
        <f ca="1">IFERROR(__xludf.DUMMYFUNCTION("""COMPUTED_VALUE"""),130)</f>
        <v>130</v>
      </c>
      <c r="E602" s="124"/>
      <c r="F602" s="112" t="str">
        <f ca="1">IFERROR(__xludf.DUMMYFUNCTION("""COMPUTED_VALUE"""),"ту 14-1-721-73, отж, АТП")</f>
        <v>ту 14-1-721-73, отж, АТП</v>
      </c>
      <c r="G602" s="125">
        <f ca="1">IFERROR(__xludf.DUMMYFUNCTION("""COMPUTED_VALUE"""),0.347)</f>
        <v>0.34699999999999998</v>
      </c>
      <c r="H602" s="125"/>
      <c r="I602" s="131">
        <f ca="1">IFERROR(__xludf.DUMMYFUNCTION("""COMPUTED_VALUE"""),1100000)</f>
        <v>1100000</v>
      </c>
    </row>
    <row r="603" spans="2:9" ht="15.75" x14ac:dyDescent="0.25">
      <c r="B603" s="123" t="str">
        <f ca="1">IFERROR(__xludf.DUMMYFUNCTION("""COMPUTED_VALUE"""),"Круг ")</f>
        <v xml:space="preserve">Круг </v>
      </c>
      <c r="C603" s="133" t="str">
        <f ca="1">IFERROR(__xludf.DUMMYFUNCTION("""COMPUTED_VALUE"""),"а25Х13Н2п       ЭИ474")</f>
        <v>а25Х13Н2п       ЭИ474</v>
      </c>
      <c r="D603" s="124">
        <f ca="1">IFERROR(__xludf.DUMMYFUNCTION("""COMPUTED_VALUE"""),140)</f>
        <v>140</v>
      </c>
      <c r="E603" s="124"/>
      <c r="F603" s="112" t="str">
        <f ca="1">IFERROR(__xludf.DUMMYFUNCTION("""COMPUTED_VALUE"""),"ту 14-1-721-73, отж, АТП")</f>
        <v>ту 14-1-721-73, отж, АТП</v>
      </c>
      <c r="G603" s="125">
        <f ca="1">IFERROR(__xludf.DUMMYFUNCTION("""COMPUTED_VALUE"""),1.286)</f>
        <v>1.286</v>
      </c>
      <c r="H603" s="125"/>
      <c r="I603" s="131">
        <f ca="1">IFERROR(__xludf.DUMMYFUNCTION("""COMPUTED_VALUE"""),1000000)</f>
        <v>1000000</v>
      </c>
    </row>
    <row r="604" spans="2:9" ht="15.75" x14ac:dyDescent="0.25">
      <c r="B604" s="123" t="str">
        <f ca="1">IFERROR(__xludf.DUMMYFUNCTION("""COMPUTED_VALUE"""),"Круг ков.")</f>
        <v>Круг ков.</v>
      </c>
      <c r="C604" s="133" t="str">
        <f ca="1">IFERROR(__xludf.DUMMYFUNCTION("""COMPUTED_VALUE"""),"а25Х13Н2п       ЭИ474")</f>
        <v>а25Х13Н2п       ЭИ474</v>
      </c>
      <c r="D604" s="124">
        <f ca="1">IFERROR(__xludf.DUMMYFUNCTION("""COMPUTED_VALUE"""),145)</f>
        <v>145</v>
      </c>
      <c r="E604" s="124"/>
      <c r="F604" s="112" t="str">
        <f ca="1">IFERROR(__xludf.DUMMYFUNCTION("""COMPUTED_VALUE"""),"ту 14-1-721-73, отж, бе3 РТ")</f>
        <v>ту 14-1-721-73, отж, бе3 РТ</v>
      </c>
      <c r="G604" s="125">
        <f ca="1">IFERROR(__xludf.DUMMYFUNCTION("""COMPUTED_VALUE"""),0.327)</f>
        <v>0.32700000000000001</v>
      </c>
      <c r="H604" s="125"/>
      <c r="I604" s="131">
        <f ca="1">IFERROR(__xludf.DUMMYFUNCTION("""COMPUTED_VALUE"""),1100000)</f>
        <v>1100000</v>
      </c>
    </row>
    <row r="605" spans="2:9" ht="15.75" x14ac:dyDescent="0.25">
      <c r="B605" s="123" t="str">
        <f ca="1">IFERROR(__xludf.DUMMYFUNCTION("""COMPUTED_VALUE"""),"Круг ков.")</f>
        <v>Круг ков.</v>
      </c>
      <c r="C605" s="133" t="str">
        <f ca="1">IFERROR(__xludf.DUMMYFUNCTION("""COMPUTED_VALUE"""),"а25Х13Н2п       ЭИ474")</f>
        <v>а25Х13Н2п       ЭИ474</v>
      </c>
      <c r="D605" s="124">
        <f ca="1">IFERROR(__xludf.DUMMYFUNCTION("""COMPUTED_VALUE"""),150)</f>
        <v>150</v>
      </c>
      <c r="E605" s="124"/>
      <c r="F605" s="112" t="str">
        <f ca="1">IFERROR(__xludf.DUMMYFUNCTION("""COMPUTED_VALUE"""),"ту 14-1-721-73, отж, АТП")</f>
        <v>ту 14-1-721-73, отж, АТП</v>
      </c>
      <c r="G605" s="125">
        <f ca="1">IFERROR(__xludf.DUMMYFUNCTION("""COMPUTED_VALUE"""),1.506)</f>
        <v>1.506</v>
      </c>
      <c r="H605" s="125"/>
      <c r="I605" s="131">
        <f ca="1">IFERROR(__xludf.DUMMYFUNCTION("""COMPUTED_VALUE"""),1100000)</f>
        <v>1100000</v>
      </c>
    </row>
    <row r="606" spans="2:9" ht="15.75" x14ac:dyDescent="0.25">
      <c r="B606" s="123" t="str">
        <f ca="1">IFERROR(__xludf.DUMMYFUNCTION("""COMPUTED_VALUE"""),"Круг ков.")</f>
        <v>Круг ков.</v>
      </c>
      <c r="C606" s="133" t="str">
        <f ca="1">IFERROR(__xludf.DUMMYFUNCTION("""COMPUTED_VALUE"""),"а25Х13Н2п       ЭИ474")</f>
        <v>а25Х13Н2п       ЭИ474</v>
      </c>
      <c r="D606" s="124">
        <f ca="1">IFERROR(__xludf.DUMMYFUNCTION("""COMPUTED_VALUE"""),170)</f>
        <v>170</v>
      </c>
      <c r="E606" s="124"/>
      <c r="F606" s="112" t="str">
        <f ca="1">IFERROR(__xludf.DUMMYFUNCTION("""COMPUTED_VALUE"""),"ту 14-1-721-73, отж, АТП ков")</f>
        <v>ту 14-1-721-73, отж, АТП ков</v>
      </c>
      <c r="G606" s="125">
        <f ca="1">IFERROR(__xludf.DUMMYFUNCTION("""COMPUTED_VALUE"""),2.57499999999999)</f>
        <v>2.57499999999999</v>
      </c>
      <c r="H606" s="125"/>
      <c r="I606" s="131">
        <f ca="1">IFERROR(__xludf.DUMMYFUNCTION("""COMPUTED_VALUE"""),1100000)</f>
        <v>1100000</v>
      </c>
    </row>
    <row r="607" spans="2:9" ht="15.75" x14ac:dyDescent="0.25">
      <c r="B607" s="123" t="str">
        <f ca="1">IFERROR(__xludf.DUMMYFUNCTION("""COMPUTED_VALUE"""),"Круг ков.")</f>
        <v>Круг ков.</v>
      </c>
      <c r="C607" s="133" t="str">
        <f ca="1">IFERROR(__xludf.DUMMYFUNCTION("""COMPUTED_VALUE"""),"а25Х13Н2п       ЭИ474")</f>
        <v>а25Х13Н2п       ЭИ474</v>
      </c>
      <c r="D607" s="124">
        <f ca="1">IFERROR(__xludf.DUMMYFUNCTION("""COMPUTED_VALUE"""),180)</f>
        <v>180</v>
      </c>
      <c r="E607" s="124"/>
      <c r="F607" s="112" t="str">
        <f ca="1">IFERROR(__xludf.DUMMYFUNCTION("""COMPUTED_VALUE"""),"ту 14-1-721-73, отж, АТП")</f>
        <v>ту 14-1-721-73, отж, АТП</v>
      </c>
      <c r="G607" s="125">
        <f ca="1">IFERROR(__xludf.DUMMYFUNCTION("""COMPUTED_VALUE"""),1.05899999999999)</f>
        <v>1.0589999999999899</v>
      </c>
      <c r="H607" s="125"/>
      <c r="I607" s="131">
        <f ca="1">IFERROR(__xludf.DUMMYFUNCTION("""COMPUTED_VALUE"""),1100000)</f>
        <v>1100000</v>
      </c>
    </row>
    <row r="608" spans="2:9" ht="15.75" x14ac:dyDescent="0.25">
      <c r="B608" s="123" t="str">
        <f ca="1">IFERROR(__xludf.DUMMYFUNCTION("""COMPUTED_VALUE"""),"Круг ков.")</f>
        <v>Круг ков.</v>
      </c>
      <c r="C608" s="133" t="str">
        <f ca="1">IFERROR(__xludf.DUMMYFUNCTION("""COMPUTED_VALUE"""),"а25Х13Н2п       ЭИ474")</f>
        <v>а25Х13Н2п       ЭИ474</v>
      </c>
      <c r="D608" s="124">
        <f ca="1">IFERROR(__xludf.DUMMYFUNCTION("""COMPUTED_VALUE"""),200)</f>
        <v>200</v>
      </c>
      <c r="E608" s="124"/>
      <c r="F608" s="112" t="str">
        <f ca="1">IFERROR(__xludf.DUMMYFUNCTION("""COMPUTED_VALUE"""),"ту 14-1-721-73, отж, АТП")</f>
        <v>ту 14-1-721-73, отж, АТП</v>
      </c>
      <c r="G608" s="125">
        <f ca="1">IFERROR(__xludf.DUMMYFUNCTION("""COMPUTED_VALUE"""),1.697)</f>
        <v>1.6970000000000001</v>
      </c>
      <c r="H608" s="125"/>
      <c r="I608" s="131">
        <f ca="1">IFERROR(__xludf.DUMMYFUNCTION("""COMPUTED_VALUE"""),1100000)</f>
        <v>1100000</v>
      </c>
    </row>
    <row r="609" spans="2:9" ht="15.75" x14ac:dyDescent="0.25">
      <c r="B609" s="123" t="str">
        <f ca="1">IFERROR(__xludf.DUMMYFUNCTION("""COMPUTED_VALUE"""),"Круг ков.")</f>
        <v>Круг ков.</v>
      </c>
      <c r="C609" s="133" t="str">
        <f ca="1">IFERROR(__xludf.DUMMYFUNCTION("""COMPUTED_VALUE"""),"а25Х13Н2п       ЭИ474")</f>
        <v>а25Х13Н2п       ЭИ474</v>
      </c>
      <c r="D609" s="124">
        <f ca="1">IFERROR(__xludf.DUMMYFUNCTION("""COMPUTED_VALUE"""),200)</f>
        <v>200</v>
      </c>
      <c r="E609" s="124"/>
      <c r="F609" s="112" t="str">
        <f ca="1">IFERROR(__xludf.DUMMYFUNCTION("""COMPUTED_VALUE"""),"ту 14-1-721-73, отж, АТП")</f>
        <v>ту 14-1-721-73, отж, АТП</v>
      </c>
      <c r="G609" s="125">
        <f ca="1">IFERROR(__xludf.DUMMYFUNCTION("""COMPUTED_VALUE"""),0.183)</f>
        <v>0.183</v>
      </c>
      <c r="H609" s="125"/>
      <c r="I609" s="131">
        <f ca="1">IFERROR(__xludf.DUMMYFUNCTION("""COMPUTED_VALUE"""),1100000)</f>
        <v>1100000</v>
      </c>
    </row>
    <row r="610" spans="2:9" ht="15.75" x14ac:dyDescent="0.25">
      <c r="B610" s="123" t="str">
        <f ca="1">IFERROR(__xludf.DUMMYFUNCTION("""COMPUTED_VALUE"""),"Круг ков.")</f>
        <v>Круг ков.</v>
      </c>
      <c r="C610" s="133" t="str">
        <f ca="1">IFERROR(__xludf.DUMMYFUNCTION("""COMPUTED_VALUE"""),"а25Х13Н2п       ЭИ474")</f>
        <v>а25Х13Н2п       ЭИ474</v>
      </c>
      <c r="D610" s="124">
        <f ca="1">IFERROR(__xludf.DUMMYFUNCTION("""COMPUTED_VALUE"""),220)</f>
        <v>220</v>
      </c>
      <c r="E610" s="124"/>
      <c r="F610" s="112" t="str">
        <f ca="1">IFERROR(__xludf.DUMMYFUNCTION("""COMPUTED_VALUE"""),"ту 14-1-721-73, отж, АТП")</f>
        <v>ту 14-1-721-73, отж, АТП</v>
      </c>
      <c r="G610" s="125">
        <f ca="1">IFERROR(__xludf.DUMMYFUNCTION("""COMPUTED_VALUE"""),2.29899999999999)</f>
        <v>2.2989999999999902</v>
      </c>
      <c r="H610" s="125"/>
      <c r="I610" s="131">
        <f ca="1">IFERROR(__xludf.DUMMYFUNCTION("""COMPUTED_VALUE"""),1100000)</f>
        <v>1100000</v>
      </c>
    </row>
    <row r="611" spans="2:9" ht="15.75" x14ac:dyDescent="0.25">
      <c r="B611" s="123" t="str">
        <f ca="1">IFERROR(__xludf.DUMMYFUNCTION("""COMPUTED_VALUE"""),"Круг ков.")</f>
        <v>Круг ков.</v>
      </c>
      <c r="C611" s="133" t="str">
        <f ca="1">IFERROR(__xludf.DUMMYFUNCTION("""COMPUTED_VALUE"""),"а25Х13Н2п       ЭИ474")</f>
        <v>а25Х13Н2п       ЭИ474</v>
      </c>
      <c r="D611" s="124">
        <f ca="1">IFERROR(__xludf.DUMMYFUNCTION("""COMPUTED_VALUE"""),250)</f>
        <v>250</v>
      </c>
      <c r="E611" s="124"/>
      <c r="F611" s="112" t="str">
        <f ca="1">IFERROR(__xludf.DUMMYFUNCTION("""COMPUTED_VALUE"""),"ту 14-1-721-73, отж, АТП")</f>
        <v>ту 14-1-721-73, отж, АТП</v>
      </c>
      <c r="G611" s="125">
        <f ca="1">IFERROR(__xludf.DUMMYFUNCTION("""COMPUTED_VALUE"""),0.945)</f>
        <v>0.94499999999999995</v>
      </c>
      <c r="H611" s="125"/>
      <c r="I611" s="131">
        <f ca="1">IFERROR(__xludf.DUMMYFUNCTION("""COMPUTED_VALUE"""),1100000)</f>
        <v>1100000</v>
      </c>
    </row>
    <row r="612" spans="2:9" ht="15.75" x14ac:dyDescent="0.25">
      <c r="B612" s="123" t="str">
        <f ca="1">IFERROR(__xludf.DUMMYFUNCTION("""COMPUTED_VALUE"""),"Круг ков.")</f>
        <v>Круг ков.</v>
      </c>
      <c r="C612" s="133" t="str">
        <f ca="1">IFERROR(__xludf.DUMMYFUNCTION("""COMPUTED_VALUE"""),"а25Х13Н2п       ЭИ474")</f>
        <v>а25Х13Н2п       ЭИ474</v>
      </c>
      <c r="D612" s="124">
        <f ca="1">IFERROR(__xludf.DUMMYFUNCTION("""COMPUTED_VALUE"""),250)</f>
        <v>250</v>
      </c>
      <c r="E612" s="124"/>
      <c r="F612" s="112" t="str">
        <f ca="1">IFERROR(__xludf.DUMMYFUNCTION("""COMPUTED_VALUE"""),"ту 14-1-721-73, отж, АТП")</f>
        <v>ту 14-1-721-73, отж, АТП</v>
      </c>
      <c r="G612" s="125">
        <f ca="1">IFERROR(__xludf.DUMMYFUNCTION("""COMPUTED_VALUE"""),0.385)</f>
        <v>0.38500000000000001</v>
      </c>
      <c r="H612" s="125"/>
      <c r="I612" s="131">
        <f ca="1">IFERROR(__xludf.DUMMYFUNCTION("""COMPUTED_VALUE"""),1100000)</f>
        <v>1100000</v>
      </c>
    </row>
    <row r="613" spans="2:9" ht="15.75" x14ac:dyDescent="0.25">
      <c r="B613" s="123" t="str">
        <f ca="1">IFERROR(__xludf.DUMMYFUNCTION("""COMPUTED_VALUE"""),"Круг ков.")</f>
        <v>Круг ков.</v>
      </c>
      <c r="C613" s="133" t="str">
        <f ca="1">IFERROR(__xludf.DUMMYFUNCTION("""COMPUTED_VALUE"""),"а25Х13Н2п       ЭИ474")</f>
        <v>а25Х13Н2п       ЭИ474</v>
      </c>
      <c r="D613" s="124">
        <f ca="1">IFERROR(__xludf.DUMMYFUNCTION("""COMPUTED_VALUE"""),280)</f>
        <v>280</v>
      </c>
      <c r="E613" s="142"/>
      <c r="F613" s="132" t="str">
        <f ca="1">IFERROR(__xludf.DUMMYFUNCTION("""COMPUTED_VALUE"""),"ту 14-1-721-73, отж, АТП")</f>
        <v>ту 14-1-721-73, отж, АТП</v>
      </c>
      <c r="G613" s="125">
        <f ca="1">IFERROR(__xludf.DUMMYFUNCTION("""COMPUTED_VALUE"""),3.865)</f>
        <v>3.8650000000000002</v>
      </c>
      <c r="H613" s="125"/>
      <c r="I613" s="131">
        <f ca="1">IFERROR(__xludf.DUMMYFUNCTION("""COMPUTED_VALUE"""),1100000)</f>
        <v>1100000</v>
      </c>
    </row>
    <row r="614" spans="2:9" ht="15.75" x14ac:dyDescent="0.25">
      <c r="B614" s="123" t="str">
        <f ca="1">IFERROR(__xludf.DUMMYFUNCTION("""COMPUTED_VALUE"""),"Круг ков.")</f>
        <v>Круг ков.</v>
      </c>
      <c r="C614" s="133" t="str">
        <f ca="1">IFERROR(__xludf.DUMMYFUNCTION("""COMPUTED_VALUE"""),"а25Х13Н2п       ЭИ474")</f>
        <v>а25Х13Н2п       ЭИ474</v>
      </c>
      <c r="D614" s="124">
        <f ca="1">IFERROR(__xludf.DUMMYFUNCTION("""COMPUTED_VALUE"""),300)</f>
        <v>300</v>
      </c>
      <c r="E614" s="124"/>
      <c r="F614" s="112" t="str">
        <f ca="1">IFERROR(__xludf.DUMMYFUNCTION("""COMPUTED_VALUE"""),"ту 14-1-721-73, отж, АТП")</f>
        <v>ту 14-1-721-73, отж, АТП</v>
      </c>
      <c r="G614" s="125">
        <f ca="1">IFERROR(__xludf.DUMMYFUNCTION("""COMPUTED_VALUE"""),4.46)</f>
        <v>4.46</v>
      </c>
      <c r="H614" s="125"/>
      <c r="I614" s="131">
        <f ca="1">IFERROR(__xludf.DUMMYFUNCTION("""COMPUTED_VALUE"""),1100000)</f>
        <v>1100000</v>
      </c>
    </row>
    <row r="615" spans="2:9" ht="15.75" x14ac:dyDescent="0.25">
      <c r="B615" s="123" t="str">
        <f ca="1">IFERROR(__xludf.DUMMYFUNCTION("""COMPUTED_VALUE"""),"круг ков")</f>
        <v>круг ков</v>
      </c>
      <c r="C615" s="133" t="str">
        <f ca="1">IFERROR(__xludf.DUMMYFUNCTION("""COMPUTED_VALUE"""),"14Х17Н2")</f>
        <v>14Х17Н2</v>
      </c>
      <c r="D615" s="124">
        <f ca="1">IFERROR(__xludf.DUMMYFUNCTION("""COMPUTED_VALUE"""),250)</f>
        <v>250</v>
      </c>
      <c r="E615" s="124"/>
      <c r="F615" s="112" t="str">
        <f ca="1">IFERROR(__xludf.DUMMYFUNCTION("""COMPUTED_VALUE"""),"УЗК обточка")</f>
        <v>УЗК обточка</v>
      </c>
      <c r="G615" s="125">
        <f ca="1">IFERROR(__xludf.DUMMYFUNCTION("""COMPUTED_VALUE"""),0.208)</f>
        <v>0.20799999999999999</v>
      </c>
      <c r="H615" s="125"/>
      <c r="I615" s="131">
        <f ca="1">IFERROR(__xludf.DUMMYFUNCTION("""COMPUTED_VALUE"""),585000)</f>
        <v>585000</v>
      </c>
    </row>
    <row r="616" spans="2:9" ht="15.75" x14ac:dyDescent="0.25">
      <c r="B616" s="123" t="str">
        <f ca="1">IFERROR(__xludf.DUMMYFUNCTION("""COMPUTED_VALUE"""),"круг ков")</f>
        <v>круг ков</v>
      </c>
      <c r="C616" s="133" t="str">
        <f ca="1">IFERROR(__xludf.DUMMYFUNCTION("""COMPUTED_VALUE"""),"14Х17Н2")</f>
        <v>14Х17Н2</v>
      </c>
      <c r="D616" s="124">
        <f ca="1">IFERROR(__xludf.DUMMYFUNCTION("""COMPUTED_VALUE"""),250)</f>
        <v>250</v>
      </c>
      <c r="E616" s="124"/>
      <c r="F616" s="112" t="str">
        <f ca="1">IFERROR(__xludf.DUMMYFUNCTION("""COMPUTED_VALUE"""),"УЗК обточка")</f>
        <v>УЗК обточка</v>
      </c>
      <c r="G616" s="125">
        <f ca="1">IFERROR(__xludf.DUMMYFUNCTION("""COMPUTED_VALUE"""),0.258999999999999)</f>
        <v>0.25899999999999901</v>
      </c>
      <c r="H616" s="125"/>
      <c r="I616" s="131">
        <f ca="1">IFERROR(__xludf.DUMMYFUNCTION("""COMPUTED_VALUE"""),585000)</f>
        <v>585000</v>
      </c>
    </row>
    <row r="617" spans="2:9" ht="15.75" x14ac:dyDescent="0.25">
      <c r="B617" s="123" t="str">
        <f ca="1">IFERROR(__xludf.DUMMYFUNCTION("""COMPUTED_VALUE"""),"круг ков")</f>
        <v>круг ков</v>
      </c>
      <c r="C617" s="133" t="str">
        <f ca="1">IFERROR(__xludf.DUMMYFUNCTION("""COMPUTED_VALUE"""),"14Х17Н2")</f>
        <v>14Х17Н2</v>
      </c>
      <c r="D617" s="124">
        <f ca="1">IFERROR(__xludf.DUMMYFUNCTION("""COMPUTED_VALUE"""),250)</f>
        <v>250</v>
      </c>
      <c r="E617" s="124"/>
      <c r="F617" s="112" t="str">
        <f ca="1">IFERROR(__xludf.DUMMYFUNCTION("""COMPUTED_VALUE"""),"УЗК обточка")</f>
        <v>УЗК обточка</v>
      </c>
      <c r="G617" s="125">
        <f ca="1">IFERROR(__xludf.DUMMYFUNCTION("""COMPUTED_VALUE"""),0.595)</f>
        <v>0.59499999999999997</v>
      </c>
      <c r="H617" s="125"/>
      <c r="I617" s="131">
        <f ca="1">IFERROR(__xludf.DUMMYFUNCTION("""COMPUTED_VALUE"""),585000)</f>
        <v>585000</v>
      </c>
    </row>
    <row r="618" spans="2:9" ht="15.75" x14ac:dyDescent="0.25">
      <c r="B618" s="123" t="str">
        <f ca="1">IFERROR(__xludf.DUMMYFUNCTION("""COMPUTED_VALUE"""),"круг ков")</f>
        <v>круг ков</v>
      </c>
      <c r="C618" s="133" t="str">
        <f ca="1">IFERROR(__xludf.DUMMYFUNCTION("""COMPUTED_VALUE"""),"14Х17Н2")</f>
        <v>14Х17Н2</v>
      </c>
      <c r="D618" s="124">
        <f ca="1">IFERROR(__xludf.DUMMYFUNCTION("""COMPUTED_VALUE"""),250)</f>
        <v>250</v>
      </c>
      <c r="E618" s="124"/>
      <c r="F618" s="112" t="str">
        <f ca="1">IFERROR(__xludf.DUMMYFUNCTION("""COMPUTED_VALUE"""),"УЗК обточка")</f>
        <v>УЗК обточка</v>
      </c>
      <c r="G618" s="125">
        <f ca="1">IFERROR(__xludf.DUMMYFUNCTION("""COMPUTED_VALUE"""),1.3)</f>
        <v>1.3</v>
      </c>
      <c r="H618" s="125"/>
      <c r="I618" s="131">
        <f ca="1">IFERROR(__xludf.DUMMYFUNCTION("""COMPUTED_VALUE"""),585000)</f>
        <v>585000</v>
      </c>
    </row>
    <row r="619" spans="2:9" ht="15.75" x14ac:dyDescent="0.25">
      <c r="B619" s="123" t="str">
        <f ca="1">IFERROR(__xludf.DUMMYFUNCTION("""COMPUTED_VALUE"""),"круг ков")</f>
        <v>круг ков</v>
      </c>
      <c r="C619" s="133" t="str">
        <f ca="1">IFERROR(__xludf.DUMMYFUNCTION("""COMPUTED_VALUE"""),"14Х17Н2")</f>
        <v>14Х17Н2</v>
      </c>
      <c r="D619" s="124">
        <f ca="1">IFERROR(__xludf.DUMMYFUNCTION("""COMPUTED_VALUE"""),250)</f>
        <v>250</v>
      </c>
      <c r="E619" s="124"/>
      <c r="F619" s="112" t="str">
        <f ca="1">IFERROR(__xludf.DUMMYFUNCTION("""COMPUTED_VALUE"""),"узк, без обточки")</f>
        <v>узк, без обточки</v>
      </c>
      <c r="G619" s="125">
        <f ca="1">IFERROR(__xludf.DUMMYFUNCTION("""COMPUTED_VALUE"""),0.59)</f>
        <v>0.59</v>
      </c>
      <c r="H619" s="125"/>
      <c r="I619" s="131">
        <f ca="1">IFERROR(__xludf.DUMMYFUNCTION("""COMPUTED_VALUE"""),530000)</f>
        <v>530000</v>
      </c>
    </row>
    <row r="620" spans="2:9" ht="15.75" x14ac:dyDescent="0.25">
      <c r="B620" s="123" t="str">
        <f ca="1">IFERROR(__xludf.DUMMYFUNCTION("""COMPUTED_VALUE"""),"круг ков")</f>
        <v>круг ков</v>
      </c>
      <c r="C620" s="133" t="str">
        <f ca="1">IFERROR(__xludf.DUMMYFUNCTION("""COMPUTED_VALUE"""),"14Х17Н2")</f>
        <v>14Х17Н2</v>
      </c>
      <c r="D620" s="124">
        <f ca="1">IFERROR(__xludf.DUMMYFUNCTION("""COMPUTED_VALUE"""),300)</f>
        <v>300</v>
      </c>
      <c r="E620" s="124"/>
      <c r="F620" s="112" t="str">
        <f ca="1">IFERROR(__xludf.DUMMYFUNCTION("""COMPUTED_VALUE"""),"УЗК обточка")</f>
        <v>УЗК обточка</v>
      </c>
      <c r="G620" s="125">
        <f ca="1">IFERROR(__xludf.DUMMYFUNCTION("""COMPUTED_VALUE"""),0.85)</f>
        <v>0.85</v>
      </c>
      <c r="H620" s="125"/>
      <c r="I620" s="131">
        <f ca="1">IFERROR(__xludf.DUMMYFUNCTION("""COMPUTED_VALUE"""),585000)</f>
        <v>585000</v>
      </c>
    </row>
    <row r="621" spans="2:9" ht="15.75" x14ac:dyDescent="0.25">
      <c r="B621" s="123" t="str">
        <f ca="1">IFERROR(__xludf.DUMMYFUNCTION("""COMPUTED_VALUE"""),"круг ков")</f>
        <v>круг ков</v>
      </c>
      <c r="C621" s="133" t="str">
        <f ca="1">IFERROR(__xludf.DUMMYFUNCTION("""COMPUTED_VALUE"""),"14Х17Н2")</f>
        <v>14Х17Н2</v>
      </c>
      <c r="D621" s="124">
        <f ca="1">IFERROR(__xludf.DUMMYFUNCTION("""COMPUTED_VALUE"""),300)</f>
        <v>300</v>
      </c>
      <c r="E621" s="124"/>
      <c r="F621" s="112" t="str">
        <f ca="1">IFERROR(__xludf.DUMMYFUNCTION("""COMPUTED_VALUE"""),"УЗК обточка")</f>
        <v>УЗК обточка</v>
      </c>
      <c r="G621" s="125">
        <f ca="1">IFERROR(__xludf.DUMMYFUNCTION("""COMPUTED_VALUE"""),0.161)</f>
        <v>0.161</v>
      </c>
      <c r="H621" s="125"/>
      <c r="I621" s="131">
        <f ca="1">IFERROR(__xludf.DUMMYFUNCTION("""COMPUTED_VALUE"""),585000)</f>
        <v>585000</v>
      </c>
    </row>
    <row r="622" spans="2:9" ht="15.75" x14ac:dyDescent="0.25">
      <c r="B622" s="123" t="str">
        <f ca="1">IFERROR(__xludf.DUMMYFUNCTION("""COMPUTED_VALUE"""),"круг ков")</f>
        <v>круг ков</v>
      </c>
      <c r="C622" s="133" t="str">
        <f ca="1">IFERROR(__xludf.DUMMYFUNCTION("""COMPUTED_VALUE"""),"14Х17Н2")</f>
        <v>14Х17Н2</v>
      </c>
      <c r="D622" s="124">
        <f ca="1">IFERROR(__xludf.DUMMYFUNCTION("""COMPUTED_VALUE"""),300)</f>
        <v>300</v>
      </c>
      <c r="E622" s="124"/>
      <c r="F622" s="112" t="str">
        <f ca="1">IFERROR(__xludf.DUMMYFUNCTION("""COMPUTED_VALUE"""),"узк, без обточки")</f>
        <v>узк, без обточки</v>
      </c>
      <c r="G622" s="125">
        <f ca="1">IFERROR(__xludf.DUMMYFUNCTION("""COMPUTED_VALUE"""),0.282999999999999)</f>
        <v>0.28299999999999897</v>
      </c>
      <c r="H622" s="125"/>
      <c r="I622" s="131">
        <f ca="1">IFERROR(__xludf.DUMMYFUNCTION("""COMPUTED_VALUE"""),585000)</f>
        <v>585000</v>
      </c>
    </row>
    <row r="623" spans="2:9" ht="15.75" x14ac:dyDescent="0.25">
      <c r="B623" s="123" t="str">
        <f ca="1">IFERROR(__xludf.DUMMYFUNCTION("""COMPUTED_VALUE"""),"круг ков")</f>
        <v>круг ков</v>
      </c>
      <c r="C623" s="133" t="str">
        <f ca="1">IFERROR(__xludf.DUMMYFUNCTION("""COMPUTED_VALUE"""),"14Х17Н2")</f>
        <v>14Х17Н2</v>
      </c>
      <c r="D623" s="124">
        <f ca="1">IFERROR(__xludf.DUMMYFUNCTION("""COMPUTED_VALUE"""),350)</f>
        <v>350</v>
      </c>
      <c r="E623" s="124"/>
      <c r="F623" s="112" t="str">
        <f ca="1">IFERROR(__xludf.DUMMYFUNCTION("""COMPUTED_VALUE"""),"УЗК обточка")</f>
        <v>УЗК обточка</v>
      </c>
      <c r="G623" s="125">
        <f ca="1">IFERROR(__xludf.DUMMYFUNCTION("""COMPUTED_VALUE"""),0.071)</f>
        <v>7.0999999999999994E-2</v>
      </c>
      <c r="H623" s="125"/>
      <c r="I623" s="131">
        <f ca="1">IFERROR(__xludf.DUMMYFUNCTION("""COMPUTED_VALUE"""),585000)</f>
        <v>585000</v>
      </c>
    </row>
    <row r="624" spans="2:9" ht="15.75" x14ac:dyDescent="0.25">
      <c r="B624" s="123" t="str">
        <f ca="1">IFERROR(__xludf.DUMMYFUNCTION("""COMPUTED_VALUE"""),"круг ков")</f>
        <v>круг ков</v>
      </c>
      <c r="C624" s="133" t="str">
        <f ca="1">IFERROR(__xludf.DUMMYFUNCTION("""COMPUTED_VALUE"""),"14Х17Н2")</f>
        <v>14Х17Н2</v>
      </c>
      <c r="D624" s="124">
        <f ca="1">IFERROR(__xludf.DUMMYFUNCTION("""COMPUTED_VALUE"""),400)</f>
        <v>400</v>
      </c>
      <c r="E624" s="124"/>
      <c r="F624" s="112" t="str">
        <f ca="1">IFERROR(__xludf.DUMMYFUNCTION("""COMPUTED_VALUE"""),"узк, без обточки")</f>
        <v>узк, без обточки</v>
      </c>
      <c r="G624" s="125">
        <f ca="1">IFERROR(__xludf.DUMMYFUNCTION("""COMPUTED_VALUE"""),1.61399999999999)</f>
        <v>1.6139999999999901</v>
      </c>
      <c r="H624" s="125"/>
      <c r="I624" s="131">
        <f ca="1">IFERROR(__xludf.DUMMYFUNCTION("""COMPUTED_VALUE"""),585000)</f>
        <v>585000</v>
      </c>
    </row>
    <row r="625" spans="2:9" ht="15.75" x14ac:dyDescent="0.25">
      <c r="B625" s="123" t="str">
        <f ca="1">IFERROR(__xludf.DUMMYFUNCTION("""COMPUTED_VALUE"""),"круг ков")</f>
        <v>круг ков</v>
      </c>
      <c r="C625" s="133" t="str">
        <f ca="1">IFERROR(__xludf.DUMMYFUNCTION("""COMPUTED_VALUE"""),"14Х17Н2")</f>
        <v>14Х17Н2</v>
      </c>
      <c r="D625" s="124">
        <f ca="1">IFERROR(__xludf.DUMMYFUNCTION("""COMPUTED_VALUE"""),400)</f>
        <v>400</v>
      </c>
      <c r="E625" s="124"/>
      <c r="F625" s="112" t="str">
        <f ca="1">IFERROR(__xludf.DUMMYFUNCTION("""COMPUTED_VALUE"""),"узк, без обточки")</f>
        <v>узк, без обточки</v>
      </c>
      <c r="G625" s="125">
        <f ca="1">IFERROR(__xludf.DUMMYFUNCTION("""COMPUTED_VALUE"""),1.86)</f>
        <v>1.86</v>
      </c>
      <c r="H625" s="125"/>
      <c r="I625" s="131">
        <f ca="1">IFERROR(__xludf.DUMMYFUNCTION("""COMPUTED_VALUE"""),585000)</f>
        <v>585000</v>
      </c>
    </row>
    <row r="626" spans="2:9" ht="15.75" x14ac:dyDescent="0.25">
      <c r="B626" s="123" t="str">
        <f ca="1">IFERROR(__xludf.DUMMYFUNCTION("""COMPUTED_VALUE"""),"круг")</f>
        <v>круг</v>
      </c>
      <c r="C626" s="133" t="str">
        <f ca="1">IFERROR(__xludf.DUMMYFUNCTION("""COMPUTED_VALUE"""),"5ХНМ")</f>
        <v>5ХНМ</v>
      </c>
      <c r="D626" s="124">
        <f ca="1">IFERROR(__xludf.DUMMYFUNCTION("""COMPUTED_VALUE"""),80)</f>
        <v>80</v>
      </c>
      <c r="E626" s="124"/>
      <c r="F626" s="112" t="str">
        <f ca="1">IFERROR(__xludf.DUMMYFUNCTION("""COMPUTED_VALUE"""),"В1-II-2 ГП, узк, отжиг")</f>
        <v>В1-II-2 ГП, узк, отжиг</v>
      </c>
      <c r="G626" s="125">
        <f ca="1">IFERROR(__xludf.DUMMYFUNCTION("""COMPUTED_VALUE"""),0.43)</f>
        <v>0.43</v>
      </c>
      <c r="H626" s="125"/>
      <c r="I626" s="131">
        <f ca="1">IFERROR(__xludf.DUMMYFUNCTION("""COMPUTED_VALUE"""),170000)</f>
        <v>170000</v>
      </c>
    </row>
    <row r="627" spans="2:9" ht="15.75" x14ac:dyDescent="0.25">
      <c r="B627" s="123" t="str">
        <f ca="1">IFERROR(__xludf.DUMMYFUNCTION("""COMPUTED_VALUE"""),"круг")</f>
        <v>круг</v>
      </c>
      <c r="C627" s="133" t="str">
        <f ca="1">IFERROR(__xludf.DUMMYFUNCTION("""COMPUTED_VALUE"""),"5ХНМ")</f>
        <v>5ХНМ</v>
      </c>
      <c r="D627" s="124">
        <f ca="1">IFERROR(__xludf.DUMMYFUNCTION("""COMPUTED_VALUE"""),105)</f>
        <v>105</v>
      </c>
      <c r="E627" s="124"/>
      <c r="F627" s="112" t="str">
        <f ca="1">IFERROR(__xludf.DUMMYFUNCTION("""COMPUTED_VALUE"""),"В1-II-2 ГП, 4000-5000 отжиг")</f>
        <v>В1-II-2 ГП, 4000-5000 отжиг</v>
      </c>
      <c r="G627" s="125">
        <f ca="1">IFERROR(__xludf.DUMMYFUNCTION("""COMPUTED_VALUE"""),0.66)</f>
        <v>0.66</v>
      </c>
      <c r="H627" s="125"/>
      <c r="I627" s="131">
        <f ca="1">IFERROR(__xludf.DUMMYFUNCTION("""COMPUTED_VALUE"""),195000)</f>
        <v>195000</v>
      </c>
    </row>
    <row r="628" spans="2:9" ht="15.75" x14ac:dyDescent="0.25">
      <c r="B628" s="123" t="str">
        <f ca="1">IFERROR(__xludf.DUMMYFUNCTION("""COMPUTED_VALUE"""),"круг")</f>
        <v>круг</v>
      </c>
      <c r="C628" s="133" t="str">
        <f ca="1">IFERROR(__xludf.DUMMYFUNCTION("""COMPUTED_VALUE"""),"5ХНМ")</f>
        <v>5ХНМ</v>
      </c>
      <c r="D628" s="124">
        <f ca="1">IFERROR(__xludf.DUMMYFUNCTION("""COMPUTED_VALUE"""),105)</f>
        <v>105</v>
      </c>
      <c r="E628" s="124"/>
      <c r="F628" s="112" t="str">
        <f ca="1">IFERROR(__xludf.DUMMYFUNCTION("""COMPUTED_VALUE"""),"В1-II-2 ГП, 4000-5000 отжиг")</f>
        <v>В1-II-2 ГП, 4000-5000 отжиг</v>
      </c>
      <c r="G628" s="125">
        <f ca="1">IFERROR(__xludf.DUMMYFUNCTION("""COMPUTED_VALUE"""),4.632)</f>
        <v>4.6319999999999997</v>
      </c>
      <c r="H628" s="125"/>
      <c r="I628" s="131">
        <f ca="1">IFERROR(__xludf.DUMMYFUNCTION("""COMPUTED_VALUE"""),195000)</f>
        <v>195000</v>
      </c>
    </row>
    <row r="629" spans="2:9" ht="15.75" x14ac:dyDescent="0.25">
      <c r="B629" s="123" t="str">
        <f ca="1">IFERROR(__xludf.DUMMYFUNCTION("""COMPUTED_VALUE"""),"круг")</f>
        <v>круг</v>
      </c>
      <c r="C629" s="133" t="str">
        <f ca="1">IFERROR(__xludf.DUMMYFUNCTION("""COMPUTED_VALUE"""),"5ХНМ")</f>
        <v>5ХНМ</v>
      </c>
      <c r="D629" s="124">
        <f ca="1">IFERROR(__xludf.DUMMYFUNCTION("""COMPUTED_VALUE"""),110)</f>
        <v>110</v>
      </c>
      <c r="E629" s="124"/>
      <c r="F629" s="112" t="str">
        <f ca="1">IFERROR(__xludf.DUMMYFUNCTION("""COMPUTED_VALUE"""),"В1-II-2 ГП, 4000-5000 отжиг")</f>
        <v>В1-II-2 ГП, 4000-5000 отжиг</v>
      </c>
      <c r="G629" s="125">
        <f ca="1">IFERROR(__xludf.DUMMYFUNCTION("""COMPUTED_VALUE"""),0.238)</f>
        <v>0.23799999999999999</v>
      </c>
      <c r="H629" s="125"/>
      <c r="I629" s="131">
        <f ca="1">IFERROR(__xludf.DUMMYFUNCTION("""COMPUTED_VALUE"""),195000)</f>
        <v>195000</v>
      </c>
    </row>
    <row r="630" spans="2:9" ht="15.75" x14ac:dyDescent="0.25">
      <c r="B630" s="123" t="str">
        <f ca="1">IFERROR(__xludf.DUMMYFUNCTION("""COMPUTED_VALUE"""),"круг")</f>
        <v>круг</v>
      </c>
      <c r="C630" s="133" t="str">
        <f ca="1">IFERROR(__xludf.DUMMYFUNCTION("""COMPUTED_VALUE"""),"5ХНМ")</f>
        <v>5ХНМ</v>
      </c>
      <c r="D630" s="124">
        <f ca="1">IFERROR(__xludf.DUMMYFUNCTION("""COMPUTED_VALUE"""),110)</f>
        <v>110</v>
      </c>
      <c r="E630" s="124"/>
      <c r="F630" s="112" t="str">
        <f ca="1">IFERROR(__xludf.DUMMYFUNCTION("""COMPUTED_VALUE"""),"В1-II-2 ГП, 4000-5000 отжиг")</f>
        <v>В1-II-2 ГП, 4000-5000 отжиг</v>
      </c>
      <c r="G630" s="125">
        <f ca="1">IFERROR(__xludf.DUMMYFUNCTION("""COMPUTED_VALUE"""),3.77)</f>
        <v>3.77</v>
      </c>
      <c r="H630" s="125"/>
      <c r="I630" s="131">
        <f ca="1">IFERROR(__xludf.DUMMYFUNCTION("""COMPUTED_VALUE"""),195000)</f>
        <v>195000</v>
      </c>
    </row>
    <row r="631" spans="2:9" ht="15.75" x14ac:dyDescent="0.25">
      <c r="B631" s="123" t="str">
        <f ca="1">IFERROR(__xludf.DUMMYFUNCTION("""COMPUTED_VALUE"""),"круг")</f>
        <v>круг</v>
      </c>
      <c r="C631" s="133" t="str">
        <f ca="1">IFERROR(__xludf.DUMMYFUNCTION("""COMPUTED_VALUE"""),"5ХНМ")</f>
        <v>5ХНМ</v>
      </c>
      <c r="D631" s="124">
        <f ca="1">IFERROR(__xludf.DUMMYFUNCTION("""COMPUTED_VALUE"""),120)</f>
        <v>120</v>
      </c>
      <c r="E631" s="124"/>
      <c r="F631" s="112" t="str">
        <f ca="1">IFERROR(__xludf.DUMMYFUNCTION("""COMPUTED_VALUE"""),"В1-II-2 ГП, 4000-5000 отжиг")</f>
        <v>В1-II-2 ГП, 4000-5000 отжиг</v>
      </c>
      <c r="G631" s="125">
        <f ca="1">IFERROR(__xludf.DUMMYFUNCTION("""COMPUTED_VALUE"""),1.69)</f>
        <v>1.69</v>
      </c>
      <c r="H631" s="125"/>
      <c r="I631" s="131">
        <f ca="1">IFERROR(__xludf.DUMMYFUNCTION("""COMPUTED_VALUE"""),195000)</f>
        <v>195000</v>
      </c>
    </row>
    <row r="632" spans="2:9" ht="15.75" x14ac:dyDescent="0.25">
      <c r="B632" s="123" t="str">
        <f ca="1">IFERROR(__xludf.DUMMYFUNCTION("""COMPUTED_VALUE"""),"круг")</f>
        <v>круг</v>
      </c>
      <c r="C632" s="133" t="str">
        <f ca="1">IFERROR(__xludf.DUMMYFUNCTION("""COMPUTED_VALUE"""),"5ХНМ")</f>
        <v>5ХНМ</v>
      </c>
      <c r="D632" s="124">
        <f ca="1">IFERROR(__xludf.DUMMYFUNCTION("""COMPUTED_VALUE"""),120)</f>
        <v>120</v>
      </c>
      <c r="E632" s="124"/>
      <c r="F632" s="112" t="str">
        <f ca="1">IFERROR(__xludf.DUMMYFUNCTION("""COMPUTED_VALUE"""),"В1-II-2 ГП, 4000-5000 отжиг")</f>
        <v>В1-II-2 ГП, 4000-5000 отжиг</v>
      </c>
      <c r="G632" s="125">
        <f ca="1">IFERROR(__xludf.DUMMYFUNCTION("""COMPUTED_VALUE"""),3.57)</f>
        <v>3.57</v>
      </c>
      <c r="H632" s="125"/>
      <c r="I632" s="131">
        <f ca="1">IFERROR(__xludf.DUMMYFUNCTION("""COMPUTED_VALUE"""),195000)</f>
        <v>195000</v>
      </c>
    </row>
    <row r="633" spans="2:9" ht="15.75" x14ac:dyDescent="0.25">
      <c r="B633" s="123" t="str">
        <f ca="1">IFERROR(__xludf.DUMMYFUNCTION("""COMPUTED_VALUE"""),"круг")</f>
        <v>круг</v>
      </c>
      <c r="C633" s="133" t="str">
        <f ca="1">IFERROR(__xludf.DUMMYFUNCTION("""COMPUTED_VALUE"""),"5ХНМ")</f>
        <v>5ХНМ</v>
      </c>
      <c r="D633" s="124">
        <f ca="1">IFERROR(__xludf.DUMMYFUNCTION("""COMPUTED_VALUE"""),130)</f>
        <v>130</v>
      </c>
      <c r="E633" s="124"/>
      <c r="F633" s="112" t="str">
        <f ca="1">IFERROR(__xludf.DUMMYFUNCTION("""COMPUTED_VALUE"""),"В1-II-2 ГП, 4000-5000 отжиг")</f>
        <v>В1-II-2 ГП, 4000-5000 отжиг</v>
      </c>
      <c r="G633" s="125">
        <f ca="1">IFERROR(__xludf.DUMMYFUNCTION("""COMPUTED_VALUE"""),1.569)</f>
        <v>1.569</v>
      </c>
      <c r="H633" s="125"/>
      <c r="I633" s="131">
        <f ca="1">IFERROR(__xludf.DUMMYFUNCTION("""COMPUTED_VALUE"""),195000)</f>
        <v>195000</v>
      </c>
    </row>
    <row r="634" spans="2:9" ht="15.75" x14ac:dyDescent="0.25">
      <c r="B634" s="123" t="str">
        <f ca="1">IFERROR(__xludf.DUMMYFUNCTION("""COMPUTED_VALUE"""),"круг")</f>
        <v>круг</v>
      </c>
      <c r="C634" s="133" t="str">
        <f ca="1">IFERROR(__xludf.DUMMYFUNCTION("""COMPUTED_VALUE"""),"5ХНМ")</f>
        <v>5ХНМ</v>
      </c>
      <c r="D634" s="124">
        <f ca="1">IFERROR(__xludf.DUMMYFUNCTION("""COMPUTED_VALUE"""),140)</f>
        <v>140</v>
      </c>
      <c r="E634" s="124"/>
      <c r="F634" s="112" t="str">
        <f ca="1">IFERROR(__xludf.DUMMYFUNCTION("""COMPUTED_VALUE"""),"В1-II-2 ГП, 4000-5000 отжиг")</f>
        <v>В1-II-2 ГП, 4000-5000 отжиг</v>
      </c>
      <c r="G634" s="125">
        <f ca="1">IFERROR(__xludf.DUMMYFUNCTION("""COMPUTED_VALUE"""),2.347)</f>
        <v>2.347</v>
      </c>
      <c r="H634" s="125"/>
      <c r="I634" s="131">
        <f ca="1">IFERROR(__xludf.DUMMYFUNCTION("""COMPUTED_VALUE"""),195000)</f>
        <v>195000</v>
      </c>
    </row>
    <row r="635" spans="2:9" ht="15.75" x14ac:dyDescent="0.25">
      <c r="B635" s="123" t="str">
        <f ca="1">IFERROR(__xludf.DUMMYFUNCTION("""COMPUTED_VALUE"""),"круг")</f>
        <v>круг</v>
      </c>
      <c r="C635" s="133" t="str">
        <f ca="1">IFERROR(__xludf.DUMMYFUNCTION("""COMPUTED_VALUE"""),"5ХНМ")</f>
        <v>5ХНМ</v>
      </c>
      <c r="D635" s="124">
        <f ca="1">IFERROR(__xludf.DUMMYFUNCTION("""COMPUTED_VALUE"""),150)</f>
        <v>150</v>
      </c>
      <c r="E635" s="124"/>
      <c r="F635" s="112" t="str">
        <f ca="1">IFERROR(__xludf.DUMMYFUNCTION("""COMPUTED_VALUE"""),"В1-II-2 ГП, 4000-5000 отжиг")</f>
        <v>В1-II-2 ГП, 4000-5000 отжиг</v>
      </c>
      <c r="G635" s="125">
        <f ca="1">IFERROR(__xludf.DUMMYFUNCTION("""COMPUTED_VALUE"""),4.588)</f>
        <v>4.5880000000000001</v>
      </c>
      <c r="H635" s="125"/>
      <c r="I635" s="131">
        <f ca="1">IFERROR(__xludf.DUMMYFUNCTION("""COMPUTED_VALUE"""),195000)</f>
        <v>195000</v>
      </c>
    </row>
    <row r="636" spans="2:9" ht="15.75" x14ac:dyDescent="0.25">
      <c r="B636" s="123" t="str">
        <f ca="1">IFERROR(__xludf.DUMMYFUNCTION("""COMPUTED_VALUE"""),"круг")</f>
        <v>круг</v>
      </c>
      <c r="C636" s="133" t="str">
        <f ca="1">IFERROR(__xludf.DUMMYFUNCTION("""COMPUTED_VALUE"""),"5ХНМ")</f>
        <v>5ХНМ</v>
      </c>
      <c r="D636" s="124">
        <f ca="1">IFERROR(__xludf.DUMMYFUNCTION("""COMPUTED_VALUE"""),180)</f>
        <v>180</v>
      </c>
      <c r="E636" s="124"/>
      <c r="F636" s="112" t="str">
        <f ca="1">IFERROR(__xludf.DUMMYFUNCTION("""COMPUTED_VALUE"""),"В1-II-2 ГП, 4000-5000 отжиг")</f>
        <v>В1-II-2 ГП, 4000-5000 отжиг</v>
      </c>
      <c r="G636" s="125">
        <f ca="1">IFERROR(__xludf.DUMMYFUNCTION("""COMPUTED_VALUE"""),4.927)</f>
        <v>4.9269999999999996</v>
      </c>
      <c r="H636" s="125"/>
      <c r="I636" s="131">
        <f ca="1">IFERROR(__xludf.DUMMYFUNCTION("""COMPUTED_VALUE"""),195000)</f>
        <v>195000</v>
      </c>
    </row>
    <row r="637" spans="2:9" ht="15.75" x14ac:dyDescent="0.25">
      <c r="B637" s="123" t="str">
        <f ca="1">IFERROR(__xludf.DUMMYFUNCTION("""COMPUTED_VALUE"""),"круг")</f>
        <v>круг</v>
      </c>
      <c r="C637" s="133" t="str">
        <f ca="1">IFERROR(__xludf.DUMMYFUNCTION("""COMPUTED_VALUE"""),"5ХНМ")</f>
        <v>5ХНМ</v>
      </c>
      <c r="D637" s="124">
        <f ca="1">IFERROR(__xludf.DUMMYFUNCTION("""COMPUTED_VALUE"""),190)</f>
        <v>190</v>
      </c>
      <c r="E637" s="124"/>
      <c r="F637" s="112" t="str">
        <f ca="1">IFERROR(__xludf.DUMMYFUNCTION("""COMPUTED_VALUE"""),"В1-II-2 ГП, 4000-5000 отжиг")</f>
        <v>В1-II-2 ГП, 4000-5000 отжиг</v>
      </c>
      <c r="G637" s="125">
        <f ca="1">IFERROR(__xludf.DUMMYFUNCTION("""COMPUTED_VALUE"""),3.53)</f>
        <v>3.53</v>
      </c>
      <c r="H637" s="125"/>
      <c r="I637" s="131">
        <f ca="1">IFERROR(__xludf.DUMMYFUNCTION("""COMPUTED_VALUE"""),195000)</f>
        <v>195000</v>
      </c>
    </row>
    <row r="638" spans="2:9" ht="15.75" x14ac:dyDescent="0.25">
      <c r="B638" s="123" t="str">
        <f ca="1">IFERROR(__xludf.DUMMYFUNCTION("""COMPUTED_VALUE"""),"круг")</f>
        <v>круг</v>
      </c>
      <c r="C638" s="133" t="str">
        <f ca="1">IFERROR(__xludf.DUMMYFUNCTION("""COMPUTED_VALUE"""),"5ХНМ")</f>
        <v>5ХНМ</v>
      </c>
      <c r="D638" s="124">
        <f ca="1">IFERROR(__xludf.DUMMYFUNCTION("""COMPUTED_VALUE"""),200)</f>
        <v>200</v>
      </c>
      <c r="E638" s="124"/>
      <c r="F638" s="112" t="str">
        <f ca="1">IFERROR(__xludf.DUMMYFUNCTION("""COMPUTED_VALUE"""),"В1-II-2 ГП, 4000-5000 отжиг")</f>
        <v>В1-II-2 ГП, 4000-5000 отжиг</v>
      </c>
      <c r="G638" s="125">
        <f ca="1">IFERROR(__xludf.DUMMYFUNCTION("""COMPUTED_VALUE"""),1.69599999999999)</f>
        <v>1.69599999999999</v>
      </c>
      <c r="H638" s="125"/>
      <c r="I638" s="131">
        <f ca="1">IFERROR(__xludf.DUMMYFUNCTION("""COMPUTED_VALUE"""),195000)</f>
        <v>195000</v>
      </c>
    </row>
    <row r="639" spans="2:9" ht="15.75" x14ac:dyDescent="0.25">
      <c r="B639" s="123" t="str">
        <f ca="1">IFERROR(__xludf.DUMMYFUNCTION("""COMPUTED_VALUE"""),"круг ")</f>
        <v xml:space="preserve">круг </v>
      </c>
      <c r="C639" s="133" t="str">
        <f ca="1">IFERROR(__xludf.DUMMYFUNCTION("""COMPUTED_VALUE"""),"5ХНМ")</f>
        <v>5ХНМ</v>
      </c>
      <c r="D639" s="124">
        <f ca="1">IFERROR(__xludf.DUMMYFUNCTION("""COMPUTED_VALUE"""),300)</f>
        <v>300</v>
      </c>
      <c r="E639" s="124"/>
      <c r="F639" s="112" t="str">
        <f ca="1">IFERROR(__xludf.DUMMYFUNCTION("""COMPUTED_VALUE"""),"Гр. II, УЗК, отжиг")</f>
        <v>Гр. II, УЗК, отжиг</v>
      </c>
      <c r="G639" s="125">
        <f ca="1">IFERROR(__xludf.DUMMYFUNCTION("""COMPUTED_VALUE"""),2.39)</f>
        <v>2.39</v>
      </c>
      <c r="H639" s="125"/>
      <c r="I639" s="131">
        <f ca="1">IFERROR(__xludf.DUMMYFUNCTION("""COMPUTED_VALUE"""),295000)</f>
        <v>295000</v>
      </c>
    </row>
    <row r="640" spans="2:9" ht="15.75" x14ac:dyDescent="0.25">
      <c r="B640" s="123" t="str">
        <f ca="1">IFERROR(__xludf.DUMMYFUNCTION("""COMPUTED_VALUE"""),"круг")</f>
        <v>круг</v>
      </c>
      <c r="C640" s="133" t="str">
        <f ca="1">IFERROR(__xludf.DUMMYFUNCTION("""COMPUTED_VALUE"""),"5ХНМ")</f>
        <v>5ХНМ</v>
      </c>
      <c r="D640" s="124">
        <f ca="1">IFERROR(__xludf.DUMMYFUNCTION("""COMPUTED_VALUE"""),380)</f>
        <v>380</v>
      </c>
      <c r="E640" s="124"/>
      <c r="F640" s="112" t="str">
        <f ca="1">IFERROR(__xludf.DUMMYFUNCTION("""COMPUTED_VALUE"""),"Гр. II, УЗК, отжиг")</f>
        <v>Гр. II, УЗК, отжиг</v>
      </c>
      <c r="G640" s="125">
        <f ca="1">IFERROR(__xludf.DUMMYFUNCTION("""COMPUTED_VALUE"""),5.85)</f>
        <v>5.85</v>
      </c>
      <c r="H640" s="125"/>
      <c r="I640" s="131">
        <f ca="1">IFERROR(__xludf.DUMMYFUNCTION("""COMPUTED_VALUE"""),295000)</f>
        <v>295000</v>
      </c>
    </row>
    <row r="641" spans="2:9" ht="15.75" x14ac:dyDescent="0.25">
      <c r="B641" s="123" t="str">
        <f ca="1">IFERROR(__xludf.DUMMYFUNCTION("""COMPUTED_VALUE"""),"круг")</f>
        <v>круг</v>
      </c>
      <c r="C641" s="133" t="str">
        <f ca="1">IFERROR(__xludf.DUMMYFUNCTION("""COMPUTED_VALUE"""),"5ХНМ")</f>
        <v>5ХНМ</v>
      </c>
      <c r="D641" s="124">
        <f ca="1">IFERROR(__xludf.DUMMYFUNCTION("""COMPUTED_VALUE"""),410)</f>
        <v>410</v>
      </c>
      <c r="E641" s="124"/>
      <c r="F641" s="112" t="str">
        <f ca="1">IFERROR(__xludf.DUMMYFUNCTION("""COMPUTED_VALUE"""),"Гр. II, УЗК, отжиг")</f>
        <v>Гр. II, УЗК, отжиг</v>
      </c>
      <c r="G641" s="125">
        <f ca="1">IFERROR(__xludf.DUMMYFUNCTION("""COMPUTED_VALUE"""),5.89)</f>
        <v>5.89</v>
      </c>
      <c r="H641" s="125"/>
      <c r="I641" s="131">
        <f ca="1">IFERROR(__xludf.DUMMYFUNCTION("""COMPUTED_VALUE"""),295000)</f>
        <v>295000</v>
      </c>
    </row>
    <row r="642" spans="2:9" ht="15.75" x14ac:dyDescent="0.25">
      <c r="B642" s="123" t="str">
        <f ca="1">IFERROR(__xludf.DUMMYFUNCTION("""COMPUTED_VALUE"""),"круг")</f>
        <v>круг</v>
      </c>
      <c r="C642" s="133" t="str">
        <f ca="1">IFERROR(__xludf.DUMMYFUNCTION("""COMPUTED_VALUE"""),"5ХНМ")</f>
        <v>5ХНМ</v>
      </c>
      <c r="D642" s="124">
        <f ca="1">IFERROR(__xludf.DUMMYFUNCTION("""COMPUTED_VALUE"""),460)</f>
        <v>460</v>
      </c>
      <c r="E642" s="124"/>
      <c r="F642" s="112" t="str">
        <f ca="1">IFERROR(__xludf.DUMMYFUNCTION("""COMPUTED_VALUE"""),"Гр. II, УЗК, отжиг")</f>
        <v>Гр. II, УЗК, отжиг</v>
      </c>
      <c r="G642" s="125">
        <f ca="1">IFERROR(__xludf.DUMMYFUNCTION("""COMPUTED_VALUE"""),5.74)</f>
        <v>5.74</v>
      </c>
      <c r="H642" s="125"/>
      <c r="I642" s="131">
        <f ca="1">IFERROR(__xludf.DUMMYFUNCTION("""COMPUTED_VALUE"""),295000)</f>
        <v>295000</v>
      </c>
    </row>
    <row r="643" spans="2:9" ht="15.75" x14ac:dyDescent="0.25">
      <c r="B643" s="123" t="str">
        <f ca="1">IFERROR(__xludf.DUMMYFUNCTION("""COMPUTED_VALUE"""),"квадрат ")</f>
        <v xml:space="preserve">квадрат </v>
      </c>
      <c r="C643" s="133" t="str">
        <f ca="1">IFERROR(__xludf.DUMMYFUNCTION("""COMPUTED_VALUE"""),"5ХНМ")</f>
        <v>5ХНМ</v>
      </c>
      <c r="D643" s="124">
        <f ca="1">IFERROR(__xludf.DUMMYFUNCTION("""COMPUTED_VALUE"""),250)</f>
        <v>250</v>
      </c>
      <c r="E643" s="124"/>
      <c r="F643" s="112" t="str">
        <f ca="1">IFERROR(__xludf.DUMMYFUNCTION("""COMPUTED_VALUE""")," Гр. II, УЗК, отжиг")</f>
        <v xml:space="preserve"> Гр. II, УЗК, отжиг</v>
      </c>
      <c r="G643" s="125">
        <f ca="1">IFERROR(__xludf.DUMMYFUNCTION("""COMPUTED_VALUE"""),1.804)</f>
        <v>1.804</v>
      </c>
      <c r="H643" s="125"/>
      <c r="I643" s="131">
        <f ca="1">IFERROR(__xludf.DUMMYFUNCTION("""COMPUTED_VALUE"""),295000)</f>
        <v>295000</v>
      </c>
    </row>
    <row r="644" spans="2:9" ht="15.75" x14ac:dyDescent="0.25">
      <c r="B644" s="123" t="str">
        <f ca="1">IFERROR(__xludf.DUMMYFUNCTION("""COMPUTED_VALUE"""),"квадрат ")</f>
        <v xml:space="preserve">квадрат </v>
      </c>
      <c r="C644" s="133" t="str">
        <f ca="1">IFERROR(__xludf.DUMMYFUNCTION("""COMPUTED_VALUE"""),"5ХНМ")</f>
        <v>5ХНМ</v>
      </c>
      <c r="D644" s="124">
        <f ca="1">IFERROR(__xludf.DUMMYFUNCTION("""COMPUTED_VALUE"""),350)</f>
        <v>350</v>
      </c>
      <c r="E644" s="124"/>
      <c r="F644" s="112" t="str">
        <f ca="1">IFERROR(__xludf.DUMMYFUNCTION("""COMPUTED_VALUE"""),"Гр. II, УЗК, отжиг")</f>
        <v>Гр. II, УЗК, отжиг</v>
      </c>
      <c r="G644" s="125">
        <f ca="1">IFERROR(__xludf.DUMMYFUNCTION("""COMPUTED_VALUE"""),2.465)</f>
        <v>2.4649999999999999</v>
      </c>
      <c r="H644" s="125"/>
      <c r="I644" s="131">
        <f ca="1">IFERROR(__xludf.DUMMYFUNCTION("""COMPUTED_VALUE"""),295000)</f>
        <v>295000</v>
      </c>
    </row>
    <row r="645" spans="2:9" ht="15.75" x14ac:dyDescent="0.25">
      <c r="B645" s="123" t="str">
        <f ca="1">IFERROR(__xludf.DUMMYFUNCTION("""COMPUTED_VALUE"""),"квадрат ")</f>
        <v xml:space="preserve">квадрат </v>
      </c>
      <c r="C645" s="133" t="str">
        <f ca="1">IFERROR(__xludf.DUMMYFUNCTION("""COMPUTED_VALUE"""),"5ХНМ")</f>
        <v>5ХНМ</v>
      </c>
      <c r="D645" s="124">
        <f ca="1">IFERROR(__xludf.DUMMYFUNCTION("""COMPUTED_VALUE"""),400)</f>
        <v>400</v>
      </c>
      <c r="E645" s="124"/>
      <c r="F645" s="112" t="str">
        <f ca="1">IFERROR(__xludf.DUMMYFUNCTION("""COMPUTED_VALUE"""),"Гр. II, УЗК, отжиг")</f>
        <v>Гр. II, УЗК, отжиг</v>
      </c>
      <c r="G645" s="125">
        <f ca="1">IFERROR(__xludf.DUMMYFUNCTION("""COMPUTED_VALUE"""),3.68)</f>
        <v>3.68</v>
      </c>
      <c r="H645" s="125"/>
      <c r="I645" s="131">
        <f ca="1">IFERROR(__xludf.DUMMYFUNCTION("""COMPUTED_VALUE"""),295000)</f>
        <v>295000</v>
      </c>
    </row>
    <row r="646" spans="2:9" ht="15.75" x14ac:dyDescent="0.25">
      <c r="B646" s="123" t="str">
        <f ca="1">IFERROR(__xludf.DUMMYFUNCTION("""COMPUTED_VALUE"""),"квадрат ")</f>
        <v xml:space="preserve">квадрат </v>
      </c>
      <c r="C646" s="133" t="str">
        <f ca="1">IFERROR(__xludf.DUMMYFUNCTION("""COMPUTED_VALUE"""),"5ХНМ")</f>
        <v>5ХНМ</v>
      </c>
      <c r="D646" s="124">
        <f ca="1">IFERROR(__xludf.DUMMYFUNCTION("""COMPUTED_VALUE"""),500)</f>
        <v>500</v>
      </c>
      <c r="E646" s="124"/>
      <c r="F646" s="112" t="str">
        <f ca="1">IFERROR(__xludf.DUMMYFUNCTION("""COMPUTED_VALUE"""),"Гр. II, УЗК, отжиг")</f>
        <v>Гр. II, УЗК, отжиг</v>
      </c>
      <c r="G646" s="125">
        <f ca="1">IFERROR(__xludf.DUMMYFUNCTION("""COMPUTED_VALUE"""),4.065)</f>
        <v>4.0650000000000004</v>
      </c>
      <c r="H646" s="125"/>
      <c r="I646" s="131">
        <f ca="1">IFERROR(__xludf.DUMMYFUNCTION("""COMPUTED_VALUE"""),295000)</f>
        <v>295000</v>
      </c>
    </row>
    <row r="647" spans="2:9" ht="15.75" x14ac:dyDescent="0.25">
      <c r="B647" s="123" t="str">
        <f ca="1">IFERROR(__xludf.DUMMYFUNCTION("""COMPUTED_VALUE"""),"квадрат ")</f>
        <v xml:space="preserve">квадрат </v>
      </c>
      <c r="C647" s="133" t="str">
        <f ca="1">IFERROR(__xludf.DUMMYFUNCTION("""COMPUTED_VALUE"""),"5ХНМ")</f>
        <v>5ХНМ</v>
      </c>
      <c r="D647" s="124">
        <f ca="1">IFERROR(__xludf.DUMMYFUNCTION("""COMPUTED_VALUE"""),600)</f>
        <v>600</v>
      </c>
      <c r="E647" s="124"/>
      <c r="F647" s="112" t="str">
        <f ca="1">IFERROR(__xludf.DUMMYFUNCTION("""COMPUTED_VALUE"""),"Гр. II, УЗК, отжиг")</f>
        <v>Гр. II, УЗК, отжиг</v>
      </c>
      <c r="G647" s="125">
        <f ca="1">IFERROR(__xludf.DUMMYFUNCTION("""COMPUTED_VALUE"""),4.86)</f>
        <v>4.8600000000000003</v>
      </c>
      <c r="H647" s="125"/>
      <c r="I647" s="131">
        <f ca="1">IFERROR(__xludf.DUMMYFUNCTION("""COMPUTED_VALUE"""),295000)</f>
        <v>295000</v>
      </c>
    </row>
    <row r="648" spans="2:9" ht="15.75" x14ac:dyDescent="0.25">
      <c r="B648" s="123" t="str">
        <f ca="1">IFERROR(__xludf.DUMMYFUNCTION("""COMPUTED_VALUE"""),"квадрат ")</f>
        <v xml:space="preserve">квадрат </v>
      </c>
      <c r="C648" s="133" t="str">
        <f ca="1">IFERROR(__xludf.DUMMYFUNCTION("""COMPUTED_VALUE"""),"5ХНМ")</f>
        <v>5ХНМ</v>
      </c>
      <c r="D648" s="124">
        <f ca="1">IFERROR(__xludf.DUMMYFUNCTION("""COMPUTED_VALUE"""),650)</f>
        <v>650</v>
      </c>
      <c r="E648" s="124"/>
      <c r="F648" s="112" t="str">
        <f ca="1">IFERROR(__xludf.DUMMYFUNCTION("""COMPUTED_VALUE"""),"Гр. II, УЗК, отжиг")</f>
        <v>Гр. II, УЗК, отжиг</v>
      </c>
      <c r="G648" s="125">
        <f ca="1">IFERROR(__xludf.DUMMYFUNCTION("""COMPUTED_VALUE"""),4.9)</f>
        <v>4.9000000000000004</v>
      </c>
      <c r="H648" s="125"/>
      <c r="I648" s="131">
        <f ca="1">IFERROR(__xludf.DUMMYFUNCTION("""COMPUTED_VALUE"""),295000)</f>
        <v>295000</v>
      </c>
    </row>
    <row r="649" spans="2:9" ht="15.75" x14ac:dyDescent="0.25">
      <c r="B649" s="123" t="str">
        <f ca="1">IFERROR(__xludf.DUMMYFUNCTION("""COMPUTED_VALUE"""),"Лист ")</f>
        <v xml:space="preserve">Лист </v>
      </c>
      <c r="C649" s="133" t="str">
        <f ca="1">IFERROR(__xludf.DUMMYFUNCTION("""COMPUTED_VALUE"""),"5ХНМ")</f>
        <v>5ХНМ</v>
      </c>
      <c r="D649" s="124">
        <f ca="1">IFERROR(__xludf.DUMMYFUNCTION("""COMPUTED_VALUE"""),30)</f>
        <v>30</v>
      </c>
      <c r="E649" s="124"/>
      <c r="F649" s="112" t="str">
        <f ca="1">IFERROR(__xludf.DUMMYFUNCTION("""COMPUTED_VALUE"""),"Гр. II, УЗК, отжиг")</f>
        <v>Гр. II, УЗК, отжиг</v>
      </c>
      <c r="G649" s="125">
        <f ca="1">IFERROR(__xludf.DUMMYFUNCTION("""COMPUTED_VALUE"""),1)</f>
        <v>1</v>
      </c>
      <c r="H649" s="125"/>
      <c r="I649" s="131"/>
    </row>
    <row r="650" spans="2:9" ht="15.75" x14ac:dyDescent="0.25">
      <c r="B650" s="123" t="str">
        <f ca="1">IFERROR(__xludf.DUMMYFUNCTION("""COMPUTED_VALUE"""),"Лист ")</f>
        <v xml:space="preserve">Лист </v>
      </c>
      <c r="C650" s="133" t="str">
        <f ca="1">IFERROR(__xludf.DUMMYFUNCTION("""COMPUTED_VALUE"""),"5ХНМ")</f>
        <v>5ХНМ</v>
      </c>
      <c r="D650" s="124">
        <f ca="1">IFERROR(__xludf.DUMMYFUNCTION("""COMPUTED_VALUE"""),50)</f>
        <v>50</v>
      </c>
      <c r="E650" s="124"/>
      <c r="F650" s="112" t="str">
        <f ca="1">IFERROR(__xludf.DUMMYFUNCTION("""COMPUTED_VALUE"""),"Гр. II, УЗК, отжиг")</f>
        <v>Гр. II, УЗК, отжиг</v>
      </c>
      <c r="G650" s="125">
        <f ca="1">IFERROR(__xludf.DUMMYFUNCTION("""COMPUTED_VALUE"""),1)</f>
        <v>1</v>
      </c>
      <c r="H650" s="125"/>
      <c r="I650" s="131"/>
    </row>
    <row r="651" spans="2:9" ht="15.75" x14ac:dyDescent="0.25">
      <c r="B651" s="123" t="str">
        <f ca="1">IFERROR(__xludf.DUMMYFUNCTION("""COMPUTED_VALUE"""),"Лист ")</f>
        <v xml:space="preserve">Лист </v>
      </c>
      <c r="C651" s="133" t="str">
        <f ca="1">IFERROR(__xludf.DUMMYFUNCTION("""COMPUTED_VALUE"""),"5ХНМ")</f>
        <v>5ХНМ</v>
      </c>
      <c r="D651" s="124">
        <f ca="1">IFERROR(__xludf.DUMMYFUNCTION("""COMPUTED_VALUE"""),80)</f>
        <v>80</v>
      </c>
      <c r="E651" s="124"/>
      <c r="F651" s="112" t="str">
        <f ca="1">IFERROR(__xludf.DUMMYFUNCTION("""COMPUTED_VALUE"""),"Гр. II, УЗК, отжиг")</f>
        <v>Гр. II, УЗК, отжиг</v>
      </c>
      <c r="G651" s="125">
        <f ca="1">IFERROR(__xludf.DUMMYFUNCTION("""COMPUTED_VALUE"""),1)</f>
        <v>1</v>
      </c>
      <c r="H651" s="125"/>
      <c r="I651" s="131"/>
    </row>
    <row r="652" spans="2:9" ht="15.75" x14ac:dyDescent="0.25">
      <c r="B652" s="123" t="str">
        <f ca="1">IFERROR(__xludf.DUMMYFUNCTION("""COMPUTED_VALUE"""),"Лист ")</f>
        <v xml:space="preserve">Лист </v>
      </c>
      <c r="C652" s="133" t="str">
        <f ca="1">IFERROR(__xludf.DUMMYFUNCTION("""COMPUTED_VALUE"""),"5ХНМ")</f>
        <v>5ХНМ</v>
      </c>
      <c r="D652" s="124">
        <f ca="1">IFERROR(__xludf.DUMMYFUNCTION("""COMPUTED_VALUE"""),100)</f>
        <v>100</v>
      </c>
      <c r="E652" s="124"/>
      <c r="F652" s="112" t="str">
        <f ca="1">IFERROR(__xludf.DUMMYFUNCTION("""COMPUTED_VALUE"""),"Гр. II, УЗК, отжиг")</f>
        <v>Гр. II, УЗК, отжиг</v>
      </c>
      <c r="G652" s="125">
        <f ca="1">IFERROR(__xludf.DUMMYFUNCTION("""COMPUTED_VALUE"""),1)</f>
        <v>1</v>
      </c>
      <c r="H652" s="125"/>
      <c r="I652" s="131"/>
    </row>
    <row r="653" spans="2:9" ht="15.75" x14ac:dyDescent="0.25">
      <c r="B653" s="123" t="str">
        <f ca="1">IFERROR(__xludf.DUMMYFUNCTION("""COMPUTED_VALUE"""),"Лист ")</f>
        <v xml:space="preserve">Лист </v>
      </c>
      <c r="C653" s="133" t="str">
        <f ca="1">IFERROR(__xludf.DUMMYFUNCTION("""COMPUTED_VALUE"""),"5ХНМ")</f>
        <v>5ХНМ</v>
      </c>
      <c r="D653" s="124">
        <f ca="1">IFERROR(__xludf.DUMMYFUNCTION("""COMPUTED_VALUE"""),120)</f>
        <v>120</v>
      </c>
      <c r="E653" s="124"/>
      <c r="F653" s="112" t="str">
        <f ca="1">IFERROR(__xludf.DUMMYFUNCTION("""COMPUTED_VALUE"""),"Гр. II, УЗК, отжиг")</f>
        <v>Гр. II, УЗК, отжиг</v>
      </c>
      <c r="G653" s="125">
        <f ca="1">IFERROR(__xludf.DUMMYFUNCTION("""COMPUTED_VALUE"""),1)</f>
        <v>1</v>
      </c>
      <c r="H653" s="125"/>
      <c r="I653" s="131"/>
    </row>
    <row r="654" spans="2:9" ht="15.75" x14ac:dyDescent="0.25">
      <c r="B654" s="123" t="str">
        <f ca="1">IFERROR(__xludf.DUMMYFUNCTION("""COMPUTED_VALUE"""),"Лист ")</f>
        <v xml:space="preserve">Лист </v>
      </c>
      <c r="C654" s="133" t="str">
        <f ca="1">IFERROR(__xludf.DUMMYFUNCTION("""COMPUTED_VALUE"""),"5ХНМ")</f>
        <v>5ХНМ</v>
      </c>
      <c r="D654" s="124">
        <f ca="1">IFERROR(__xludf.DUMMYFUNCTION("""COMPUTED_VALUE"""),180)</f>
        <v>180</v>
      </c>
      <c r="E654" s="124"/>
      <c r="F654" s="112" t="str">
        <f ca="1">IFERROR(__xludf.DUMMYFUNCTION("""COMPUTED_VALUE"""),"Гр. II, УЗК, отжиг")</f>
        <v>Гр. II, УЗК, отжиг</v>
      </c>
      <c r="G654" s="125">
        <f ca="1">IFERROR(__xludf.DUMMYFUNCTION("""COMPUTED_VALUE"""),1)</f>
        <v>1</v>
      </c>
      <c r="H654" s="125"/>
      <c r="I654" s="131"/>
    </row>
    <row r="655" spans="2:9" ht="15.75" x14ac:dyDescent="0.25">
      <c r="B655" s="123" t="str">
        <f ca="1">IFERROR(__xludf.DUMMYFUNCTION("""COMPUTED_VALUE"""),"круг")</f>
        <v>круг</v>
      </c>
      <c r="C655" s="133" t="str">
        <f ca="1">IFERROR(__xludf.DUMMYFUNCTION("""COMPUTED_VALUE"""),"ХВГ")</f>
        <v>ХВГ</v>
      </c>
      <c r="D655" s="124">
        <f ca="1">IFERROR(__xludf.DUMMYFUNCTION("""COMPUTED_VALUE"""),16)</f>
        <v>16</v>
      </c>
      <c r="E655" s="124"/>
      <c r="F655" s="112" t="str">
        <f ca="1">IFERROR(__xludf.DUMMYFUNCTION("""COMPUTED_VALUE"""),"3ГП ГОСТ 5950/2590 отжиг")</f>
        <v>3ГП ГОСТ 5950/2590 отжиг</v>
      </c>
      <c r="G655" s="125">
        <f ca="1">IFERROR(__xludf.DUMMYFUNCTION("""COMPUTED_VALUE"""),0.863)</f>
        <v>0.86299999999999999</v>
      </c>
      <c r="H655" s="125"/>
      <c r="I655" s="131">
        <f ca="1">IFERROR(__xludf.DUMMYFUNCTION("""COMPUTED_VALUE"""),450000)</f>
        <v>450000</v>
      </c>
    </row>
    <row r="656" spans="2:9" ht="15.75" x14ac:dyDescent="0.25">
      <c r="B656" s="123" t="str">
        <f ca="1">IFERROR(__xludf.DUMMYFUNCTION("""COMPUTED_VALUE"""),"круг")</f>
        <v>круг</v>
      </c>
      <c r="C656" s="133" t="str">
        <f ca="1">IFERROR(__xludf.DUMMYFUNCTION("""COMPUTED_VALUE"""),"ХВГ")</f>
        <v>ХВГ</v>
      </c>
      <c r="D656" s="124">
        <f ca="1">IFERROR(__xludf.DUMMYFUNCTION("""COMPUTED_VALUE"""),20)</f>
        <v>20</v>
      </c>
      <c r="E656" s="124"/>
      <c r="F656" s="112" t="str">
        <f ca="1">IFERROR(__xludf.DUMMYFUNCTION("""COMPUTED_VALUE"""),"2ГП ГОСТ 5950/2590 отжиг")</f>
        <v>2ГП ГОСТ 5950/2590 отжиг</v>
      </c>
      <c r="G656" s="125">
        <f ca="1">IFERROR(__xludf.DUMMYFUNCTION("""COMPUTED_VALUE"""),0.272999999999999)</f>
        <v>0.27299999999999902</v>
      </c>
      <c r="H656" s="125"/>
      <c r="I656" s="131">
        <f ca="1">IFERROR(__xludf.DUMMYFUNCTION("""COMPUTED_VALUE"""),450000)</f>
        <v>450000</v>
      </c>
    </row>
    <row r="657" spans="2:9" ht="15.75" x14ac:dyDescent="0.25">
      <c r="B657" s="123" t="str">
        <f ca="1">IFERROR(__xludf.DUMMYFUNCTION("""COMPUTED_VALUE"""),"круг")</f>
        <v>круг</v>
      </c>
      <c r="C657" s="133" t="str">
        <f ca="1">IFERROR(__xludf.DUMMYFUNCTION("""COMPUTED_VALUE"""),"ХВГ")</f>
        <v>ХВГ</v>
      </c>
      <c r="D657" s="124">
        <f ca="1">IFERROR(__xludf.DUMMYFUNCTION("""COMPUTED_VALUE"""),20)</f>
        <v>20</v>
      </c>
      <c r="E657" s="124"/>
      <c r="F657" s="112" t="str">
        <f ca="1">IFERROR(__xludf.DUMMYFUNCTION("""COMPUTED_VALUE"""),"2ГП ГОСТ 5950/2590 отжиг")</f>
        <v>2ГП ГОСТ 5950/2590 отжиг</v>
      </c>
      <c r="G657" s="125">
        <f ca="1">IFERROR(__xludf.DUMMYFUNCTION("""COMPUTED_VALUE"""),0.38)</f>
        <v>0.38</v>
      </c>
      <c r="H657" s="125"/>
      <c r="I657" s="131">
        <f ca="1">IFERROR(__xludf.DUMMYFUNCTION("""COMPUTED_VALUE"""),450000)</f>
        <v>450000</v>
      </c>
    </row>
    <row r="658" spans="2:9" ht="15.75" x14ac:dyDescent="0.25">
      <c r="B658" s="123" t="str">
        <f ca="1">IFERROR(__xludf.DUMMYFUNCTION("""COMPUTED_VALUE"""),"круг")</f>
        <v>круг</v>
      </c>
      <c r="C658" s="133" t="str">
        <f ca="1">IFERROR(__xludf.DUMMYFUNCTION("""COMPUTED_VALUE"""),"ХВГ")</f>
        <v>ХВГ</v>
      </c>
      <c r="D658" s="124">
        <f ca="1">IFERROR(__xludf.DUMMYFUNCTION("""COMPUTED_VALUE"""),20)</f>
        <v>20</v>
      </c>
      <c r="E658" s="124"/>
      <c r="F658" s="112" t="str">
        <f ca="1">IFERROR(__xludf.DUMMYFUNCTION("""COMPUTED_VALUE"""),"3ГП ГОСТ 5950/2590 отжиг")</f>
        <v>3ГП ГОСТ 5950/2590 отжиг</v>
      </c>
      <c r="G658" s="125">
        <f ca="1">IFERROR(__xludf.DUMMYFUNCTION("""COMPUTED_VALUE"""),0.942)</f>
        <v>0.94199999999999995</v>
      </c>
      <c r="H658" s="125"/>
      <c r="I658" s="131">
        <f ca="1">IFERROR(__xludf.DUMMYFUNCTION("""COMPUTED_VALUE"""),450000)</f>
        <v>450000</v>
      </c>
    </row>
    <row r="659" spans="2:9" ht="15.75" x14ac:dyDescent="0.25">
      <c r="B659" s="123" t="str">
        <f ca="1">IFERROR(__xludf.DUMMYFUNCTION("""COMPUTED_VALUE"""),"круг")</f>
        <v>круг</v>
      </c>
      <c r="C659" s="133" t="str">
        <f ca="1">IFERROR(__xludf.DUMMYFUNCTION("""COMPUTED_VALUE"""),"ХВГ")</f>
        <v>ХВГ</v>
      </c>
      <c r="D659" s="124">
        <f ca="1">IFERROR(__xludf.DUMMYFUNCTION("""COMPUTED_VALUE"""),22)</f>
        <v>22</v>
      </c>
      <c r="E659" s="124"/>
      <c r="F659" s="112" t="str">
        <f ca="1">IFERROR(__xludf.DUMMYFUNCTION("""COMPUTED_VALUE"""),"3ГП ГОСТ 5950/2590 отжиг")</f>
        <v>3ГП ГОСТ 5950/2590 отжиг</v>
      </c>
      <c r="G659" s="125">
        <f ca="1">IFERROR(__xludf.DUMMYFUNCTION("""COMPUTED_VALUE"""),0.482)</f>
        <v>0.48199999999999998</v>
      </c>
      <c r="H659" s="125"/>
      <c r="I659" s="131">
        <f ca="1">IFERROR(__xludf.DUMMYFUNCTION("""COMPUTED_VALUE"""),399000)</f>
        <v>399000</v>
      </c>
    </row>
    <row r="660" spans="2:9" ht="15.75" x14ac:dyDescent="0.25">
      <c r="B660" s="123" t="str">
        <f ca="1">IFERROR(__xludf.DUMMYFUNCTION("""COMPUTED_VALUE"""),"круг")</f>
        <v>круг</v>
      </c>
      <c r="C660" s="133" t="str">
        <f ca="1">IFERROR(__xludf.DUMMYFUNCTION("""COMPUTED_VALUE"""),"ХВГ")</f>
        <v>ХВГ</v>
      </c>
      <c r="D660" s="124">
        <f ca="1">IFERROR(__xludf.DUMMYFUNCTION("""COMPUTED_VALUE"""),22)</f>
        <v>22</v>
      </c>
      <c r="E660" s="124"/>
      <c r="F660" s="112" t="str">
        <f ca="1">IFERROR(__xludf.DUMMYFUNCTION("""COMPUTED_VALUE"""),"3ГП ГОСТ 5950/2590 отжиг")</f>
        <v>3ГП ГОСТ 5950/2590 отжиг</v>
      </c>
      <c r="G660" s="125">
        <f ca="1">IFERROR(__xludf.DUMMYFUNCTION("""COMPUTED_VALUE"""),0.21)</f>
        <v>0.21</v>
      </c>
      <c r="H660" s="125"/>
      <c r="I660" s="131">
        <f ca="1">IFERROR(__xludf.DUMMYFUNCTION("""COMPUTED_VALUE"""),399000)</f>
        <v>399000</v>
      </c>
    </row>
    <row r="661" spans="2:9" ht="15.75" x14ac:dyDescent="0.25">
      <c r="B661" s="123" t="str">
        <f ca="1">IFERROR(__xludf.DUMMYFUNCTION("""COMPUTED_VALUE"""),"круг")</f>
        <v>круг</v>
      </c>
      <c r="C661" s="133" t="str">
        <f ca="1">IFERROR(__xludf.DUMMYFUNCTION("""COMPUTED_VALUE"""),"ХВГ")</f>
        <v>ХВГ</v>
      </c>
      <c r="D661" s="124">
        <f ca="1">IFERROR(__xludf.DUMMYFUNCTION("""COMPUTED_VALUE"""),25)</f>
        <v>25</v>
      </c>
      <c r="E661" s="124"/>
      <c r="F661" s="112" t="str">
        <f ca="1">IFERROR(__xludf.DUMMYFUNCTION("""COMPUTED_VALUE"""),"2ГП ГОСТ 5950/2590 отжиг")</f>
        <v>2ГП ГОСТ 5950/2590 отжиг</v>
      </c>
      <c r="G661" s="125">
        <f ca="1">IFERROR(__xludf.DUMMYFUNCTION("""COMPUTED_VALUE"""),0.735)</f>
        <v>0.73499999999999999</v>
      </c>
      <c r="H661" s="125"/>
      <c r="I661" s="131">
        <f ca="1">IFERROR(__xludf.DUMMYFUNCTION("""COMPUTED_VALUE"""),399000)</f>
        <v>399000</v>
      </c>
    </row>
    <row r="662" spans="2:9" ht="15.75" x14ac:dyDescent="0.25">
      <c r="B662" s="123" t="str">
        <f ca="1">IFERROR(__xludf.DUMMYFUNCTION("""COMPUTED_VALUE"""),"круг")</f>
        <v>круг</v>
      </c>
      <c r="C662" s="133" t="str">
        <f ca="1">IFERROR(__xludf.DUMMYFUNCTION("""COMPUTED_VALUE"""),"ХВГ")</f>
        <v>ХВГ</v>
      </c>
      <c r="D662" s="124">
        <f ca="1">IFERROR(__xludf.DUMMYFUNCTION("""COMPUTED_VALUE"""),28)</f>
        <v>28</v>
      </c>
      <c r="E662" s="124"/>
      <c r="F662" s="112" t="str">
        <f ca="1">IFERROR(__xludf.DUMMYFUNCTION("""COMPUTED_VALUE"""),"2ГП ГОСТ 5950/2590 отжиг")</f>
        <v>2ГП ГОСТ 5950/2590 отжиг</v>
      </c>
      <c r="G662" s="125">
        <f ca="1">IFERROR(__xludf.DUMMYFUNCTION("""COMPUTED_VALUE"""),0.722)</f>
        <v>0.72199999999999998</v>
      </c>
      <c r="H662" s="125"/>
      <c r="I662" s="131">
        <f ca="1">IFERROR(__xludf.DUMMYFUNCTION("""COMPUTED_VALUE"""),390000)</f>
        <v>390000</v>
      </c>
    </row>
    <row r="663" spans="2:9" ht="15.75" x14ac:dyDescent="0.25">
      <c r="B663" s="123" t="str">
        <f ca="1">IFERROR(__xludf.DUMMYFUNCTION("""COMPUTED_VALUE"""),"круг")</f>
        <v>круг</v>
      </c>
      <c r="C663" s="133" t="str">
        <f ca="1">IFERROR(__xludf.DUMMYFUNCTION("""COMPUTED_VALUE"""),"ХВГ")</f>
        <v>ХВГ</v>
      </c>
      <c r="D663" s="124">
        <f ca="1">IFERROR(__xludf.DUMMYFUNCTION("""COMPUTED_VALUE"""),30)</f>
        <v>30</v>
      </c>
      <c r="E663" s="124"/>
      <c r="F663" s="112" t="str">
        <f ca="1">IFERROR(__xludf.DUMMYFUNCTION("""COMPUTED_VALUE"""),"3ГП ГОСТ 5950/2590 отжиг")</f>
        <v>3ГП ГОСТ 5950/2590 отжиг</v>
      </c>
      <c r="G663" s="125">
        <f ca="1">IFERROR(__xludf.DUMMYFUNCTION("""COMPUTED_VALUE"""),1.125)</f>
        <v>1.125</v>
      </c>
      <c r="H663" s="125"/>
      <c r="I663" s="131">
        <f ca="1">IFERROR(__xludf.DUMMYFUNCTION("""COMPUTED_VALUE"""),399000)</f>
        <v>399000</v>
      </c>
    </row>
    <row r="664" spans="2:9" ht="15.75" x14ac:dyDescent="0.25">
      <c r="B664" s="123" t="str">
        <f ca="1">IFERROR(__xludf.DUMMYFUNCTION("""COMPUTED_VALUE"""),"круг")</f>
        <v>круг</v>
      </c>
      <c r="C664" s="133" t="str">
        <f ca="1">IFERROR(__xludf.DUMMYFUNCTION("""COMPUTED_VALUE"""),"ХВГ")</f>
        <v>ХВГ</v>
      </c>
      <c r="D664" s="124">
        <f ca="1">IFERROR(__xludf.DUMMYFUNCTION("""COMPUTED_VALUE"""),32)</f>
        <v>32</v>
      </c>
      <c r="E664" s="124"/>
      <c r="F664" s="112" t="str">
        <f ca="1">IFERROR(__xludf.DUMMYFUNCTION("""COMPUTED_VALUE"""),"2ГП ГОСТ 5950/2590 отжиг")</f>
        <v>2ГП ГОСТ 5950/2590 отжиг</v>
      </c>
      <c r="G664" s="125">
        <f ca="1">IFERROR(__xludf.DUMMYFUNCTION("""COMPUTED_VALUE"""),0.829)</f>
        <v>0.82899999999999996</v>
      </c>
      <c r="H664" s="125"/>
      <c r="I664" s="131">
        <f ca="1">IFERROR(__xludf.DUMMYFUNCTION("""COMPUTED_VALUE"""),350000)</f>
        <v>350000</v>
      </c>
    </row>
    <row r="665" spans="2:9" ht="15.75" x14ac:dyDescent="0.25">
      <c r="B665" s="123" t="str">
        <f ca="1">IFERROR(__xludf.DUMMYFUNCTION("""COMPUTED_VALUE"""),"круг")</f>
        <v>круг</v>
      </c>
      <c r="C665" s="133" t="str">
        <f ca="1">IFERROR(__xludf.DUMMYFUNCTION("""COMPUTED_VALUE"""),"ХВГ")</f>
        <v>ХВГ</v>
      </c>
      <c r="D665" s="124">
        <f ca="1">IFERROR(__xludf.DUMMYFUNCTION("""COMPUTED_VALUE"""),36)</f>
        <v>36</v>
      </c>
      <c r="E665" s="124"/>
      <c r="F665" s="112" t="str">
        <f ca="1">IFERROR(__xludf.DUMMYFUNCTION("""COMPUTED_VALUE"""),"2ГП ГОСТ 5950/2590 отжиг")</f>
        <v>2ГП ГОСТ 5950/2590 отжиг</v>
      </c>
      <c r="G665" s="125">
        <f ca="1">IFERROR(__xludf.DUMMYFUNCTION("""COMPUTED_VALUE"""),0.602)</f>
        <v>0.60199999999999998</v>
      </c>
      <c r="H665" s="125"/>
      <c r="I665" s="131">
        <f ca="1">IFERROR(__xludf.DUMMYFUNCTION("""COMPUTED_VALUE"""),350000)</f>
        <v>350000</v>
      </c>
    </row>
    <row r="666" spans="2:9" ht="15.75" x14ac:dyDescent="0.25">
      <c r="B666" s="123" t="str">
        <f ca="1">IFERROR(__xludf.DUMMYFUNCTION("""COMPUTED_VALUE"""),"круг")</f>
        <v>круг</v>
      </c>
      <c r="C666" s="133" t="str">
        <f ca="1">IFERROR(__xludf.DUMMYFUNCTION("""COMPUTED_VALUE"""),"ХВГ")</f>
        <v>ХВГ</v>
      </c>
      <c r="D666" s="124">
        <f ca="1">IFERROR(__xludf.DUMMYFUNCTION("""COMPUTED_VALUE"""),50)</f>
        <v>50</v>
      </c>
      <c r="E666" s="124"/>
      <c r="F666" s="112" t="str">
        <f ca="1">IFERROR(__xludf.DUMMYFUNCTION("""COMPUTED_VALUE"""),"2ГП ГОСТ 5950/2590 отжиг")</f>
        <v>2ГП ГОСТ 5950/2590 отжиг</v>
      </c>
      <c r="G666" s="125">
        <f ca="1">IFERROR(__xludf.DUMMYFUNCTION("""COMPUTED_VALUE"""),0.343)</f>
        <v>0.34300000000000003</v>
      </c>
      <c r="H666" s="125"/>
      <c r="I666" s="131">
        <f ca="1">IFERROR(__xludf.DUMMYFUNCTION("""COMPUTED_VALUE"""),350000)</f>
        <v>350000</v>
      </c>
    </row>
    <row r="667" spans="2:9" ht="15.75" x14ac:dyDescent="0.25">
      <c r="B667" s="123" t="str">
        <f ca="1">IFERROR(__xludf.DUMMYFUNCTION("""COMPUTED_VALUE"""),"круг")</f>
        <v>круг</v>
      </c>
      <c r="C667" s="133" t="str">
        <f ca="1">IFERROR(__xludf.DUMMYFUNCTION("""COMPUTED_VALUE"""),"ХВГ")</f>
        <v>ХВГ</v>
      </c>
      <c r="D667" s="124">
        <f ca="1">IFERROR(__xludf.DUMMYFUNCTION("""COMPUTED_VALUE"""),50)</f>
        <v>50</v>
      </c>
      <c r="E667" s="124"/>
      <c r="F667" s="112" t="str">
        <f ca="1">IFERROR(__xludf.DUMMYFUNCTION("""COMPUTED_VALUE"""),"2ГП ГОСТ 5950/2590 отжиг")</f>
        <v>2ГП ГОСТ 5950/2590 отжиг</v>
      </c>
      <c r="G667" s="125">
        <f ca="1">IFERROR(__xludf.DUMMYFUNCTION("""COMPUTED_VALUE"""),0.525)</f>
        <v>0.52500000000000002</v>
      </c>
      <c r="H667" s="125"/>
      <c r="I667" s="131">
        <f ca="1">IFERROR(__xludf.DUMMYFUNCTION("""COMPUTED_VALUE"""),350000)</f>
        <v>350000</v>
      </c>
    </row>
    <row r="668" spans="2:9" ht="15.75" x14ac:dyDescent="0.25">
      <c r="B668" s="123" t="str">
        <f ca="1">IFERROR(__xludf.DUMMYFUNCTION("""COMPUTED_VALUE"""),"круг")</f>
        <v>круг</v>
      </c>
      <c r="C668" s="133" t="str">
        <f ca="1">IFERROR(__xludf.DUMMYFUNCTION("""COMPUTED_VALUE"""),"ХВГ")</f>
        <v>ХВГ</v>
      </c>
      <c r="D668" s="124">
        <f ca="1">IFERROR(__xludf.DUMMYFUNCTION("""COMPUTED_VALUE"""),56)</f>
        <v>56</v>
      </c>
      <c r="E668" s="124"/>
      <c r="F668" s="112" t="str">
        <f ca="1">IFERROR(__xludf.DUMMYFUNCTION("""COMPUTED_VALUE"""),"2ГП ГОСТ 5950/2590")</f>
        <v>2ГП ГОСТ 5950/2590</v>
      </c>
      <c r="G668" s="125">
        <f ca="1">IFERROR(__xludf.DUMMYFUNCTION("""COMPUTED_VALUE"""),0.897999999999999)</f>
        <v>0.89799999999999902</v>
      </c>
      <c r="H668" s="125"/>
      <c r="I668" s="131">
        <f ca="1">IFERROR(__xludf.DUMMYFUNCTION("""COMPUTED_VALUE"""),340000)</f>
        <v>340000</v>
      </c>
    </row>
    <row r="669" spans="2:9" ht="15.75" x14ac:dyDescent="0.25">
      <c r="B669" s="123" t="str">
        <f ca="1">IFERROR(__xludf.DUMMYFUNCTION("""COMPUTED_VALUE"""),"круг")</f>
        <v>круг</v>
      </c>
      <c r="C669" s="133" t="str">
        <f ca="1">IFERROR(__xludf.DUMMYFUNCTION("""COMPUTED_VALUE"""),"ХВГ")</f>
        <v>ХВГ</v>
      </c>
      <c r="D669" s="124">
        <f ca="1">IFERROR(__xludf.DUMMYFUNCTION("""COMPUTED_VALUE"""),60)</f>
        <v>60</v>
      </c>
      <c r="E669" s="124"/>
      <c r="F669" s="112" t="str">
        <f ca="1">IFERROR(__xludf.DUMMYFUNCTION("""COMPUTED_VALUE"""),"2ГП ГОСТ 5950/2590 отжиг")</f>
        <v>2ГП ГОСТ 5950/2590 отжиг</v>
      </c>
      <c r="G669" s="125">
        <f ca="1">IFERROR(__xludf.DUMMYFUNCTION("""COMPUTED_VALUE"""),2.185)</f>
        <v>2.1850000000000001</v>
      </c>
      <c r="H669" s="125"/>
      <c r="I669" s="131">
        <f ca="1">IFERROR(__xludf.DUMMYFUNCTION("""COMPUTED_VALUE"""),350000)</f>
        <v>350000</v>
      </c>
    </row>
    <row r="670" spans="2:9" ht="15.75" x14ac:dyDescent="0.25">
      <c r="B670" s="123" t="str">
        <f ca="1">IFERROR(__xludf.DUMMYFUNCTION("""COMPUTED_VALUE"""),"круг")</f>
        <v>круг</v>
      </c>
      <c r="C670" s="133" t="str">
        <f ca="1">IFERROR(__xludf.DUMMYFUNCTION("""COMPUTED_VALUE"""),"ХВГ")</f>
        <v>ХВГ</v>
      </c>
      <c r="D670" s="124">
        <f ca="1">IFERROR(__xludf.DUMMYFUNCTION("""COMPUTED_VALUE"""),65)</f>
        <v>65</v>
      </c>
      <c r="E670" s="124"/>
      <c r="F670" s="112" t="str">
        <f ca="1">IFERROR(__xludf.DUMMYFUNCTION("""COMPUTED_VALUE"""),"2ГП ГОСТ 5950/2590 отжиг")</f>
        <v>2ГП ГОСТ 5950/2590 отжиг</v>
      </c>
      <c r="G670" s="125">
        <f ca="1">IFERROR(__xludf.DUMMYFUNCTION("""COMPUTED_VALUE"""),1.60299999999999)</f>
        <v>1.60299999999999</v>
      </c>
      <c r="H670" s="125"/>
      <c r="I670" s="131">
        <f ca="1">IFERROR(__xludf.DUMMYFUNCTION("""COMPUTED_VALUE"""),350000)</f>
        <v>350000</v>
      </c>
    </row>
    <row r="671" spans="2:9" ht="15.75" x14ac:dyDescent="0.25">
      <c r="B671" s="123" t="str">
        <f ca="1">IFERROR(__xludf.DUMMYFUNCTION("""COMPUTED_VALUE"""),"круг")</f>
        <v>круг</v>
      </c>
      <c r="C671" s="133" t="str">
        <f ca="1">IFERROR(__xludf.DUMMYFUNCTION("""COMPUTED_VALUE"""),"ХВГ")</f>
        <v>ХВГ</v>
      </c>
      <c r="D671" s="124">
        <f ca="1">IFERROR(__xludf.DUMMYFUNCTION("""COMPUTED_VALUE"""),65)</f>
        <v>65</v>
      </c>
      <c r="E671" s="124"/>
      <c r="F671" s="112" t="str">
        <f ca="1">IFERROR(__xludf.DUMMYFUNCTION("""COMPUTED_VALUE"""),"2ГП ГОСТ 5950/2590")</f>
        <v>2ГП ГОСТ 5950/2590</v>
      </c>
      <c r="G671" s="125">
        <f ca="1">IFERROR(__xludf.DUMMYFUNCTION("""COMPUTED_VALUE"""),1.462)</f>
        <v>1.462</v>
      </c>
      <c r="H671" s="125"/>
      <c r="I671" s="131">
        <f ca="1">IFERROR(__xludf.DUMMYFUNCTION("""COMPUTED_VALUE"""),340000)</f>
        <v>340000</v>
      </c>
    </row>
    <row r="672" spans="2:9" ht="15.75" x14ac:dyDescent="0.25">
      <c r="B672" s="123" t="str">
        <f ca="1">IFERROR(__xludf.DUMMYFUNCTION("""COMPUTED_VALUE"""),"круг")</f>
        <v>круг</v>
      </c>
      <c r="C672" s="133" t="str">
        <f ca="1">IFERROR(__xludf.DUMMYFUNCTION("""COMPUTED_VALUE"""),"ХВГ")</f>
        <v>ХВГ</v>
      </c>
      <c r="D672" s="124">
        <f ca="1">IFERROR(__xludf.DUMMYFUNCTION("""COMPUTED_VALUE"""),70)</f>
        <v>70</v>
      </c>
      <c r="E672" s="124"/>
      <c r="F672" s="112" t="str">
        <f ca="1">IFERROR(__xludf.DUMMYFUNCTION("""COMPUTED_VALUE"""),"2ГП ГОСТ 5950/2590 отжиг")</f>
        <v>2ГП ГОСТ 5950/2590 отжиг</v>
      </c>
      <c r="G672" s="125">
        <f ca="1">IFERROR(__xludf.DUMMYFUNCTION("""COMPUTED_VALUE"""),1.093)</f>
        <v>1.093</v>
      </c>
      <c r="H672" s="125"/>
      <c r="I672" s="131">
        <f ca="1">IFERROR(__xludf.DUMMYFUNCTION("""COMPUTED_VALUE"""),350000)</f>
        <v>350000</v>
      </c>
    </row>
    <row r="673" spans="2:9" ht="15.75" x14ac:dyDescent="0.25">
      <c r="B673" s="123" t="str">
        <f ca="1">IFERROR(__xludf.DUMMYFUNCTION("""COMPUTED_VALUE"""),"круг")</f>
        <v>круг</v>
      </c>
      <c r="C673" s="133" t="str">
        <f ca="1">IFERROR(__xludf.DUMMYFUNCTION("""COMPUTED_VALUE"""),"ХВГ")</f>
        <v>ХВГ</v>
      </c>
      <c r="D673" s="124">
        <f ca="1">IFERROR(__xludf.DUMMYFUNCTION("""COMPUTED_VALUE"""),70)</f>
        <v>70</v>
      </c>
      <c r="E673" s="124"/>
      <c r="F673" s="112" t="str">
        <f ca="1">IFERROR(__xludf.DUMMYFUNCTION("""COMPUTED_VALUE"""),"2ГП ГОСТ 5950/2590 отжиг")</f>
        <v>2ГП ГОСТ 5950/2590 отжиг</v>
      </c>
      <c r="G673" s="125">
        <f ca="1">IFERROR(__xludf.DUMMYFUNCTION("""COMPUTED_VALUE"""),0.7)</f>
        <v>0.7</v>
      </c>
      <c r="H673" s="125"/>
      <c r="I673" s="131">
        <f ca="1">IFERROR(__xludf.DUMMYFUNCTION("""COMPUTED_VALUE"""),350000)</f>
        <v>350000</v>
      </c>
    </row>
    <row r="674" spans="2:9" ht="15.75" x14ac:dyDescent="0.25">
      <c r="B674" s="123" t="str">
        <f ca="1">IFERROR(__xludf.DUMMYFUNCTION("""COMPUTED_VALUE"""),"круг")</f>
        <v>круг</v>
      </c>
      <c r="C674" s="133" t="str">
        <f ca="1">IFERROR(__xludf.DUMMYFUNCTION("""COMPUTED_VALUE"""),"ХВГ")</f>
        <v>ХВГ</v>
      </c>
      <c r="D674" s="124">
        <f ca="1">IFERROR(__xludf.DUMMYFUNCTION("""COMPUTED_VALUE"""),80)</f>
        <v>80</v>
      </c>
      <c r="E674" s="124"/>
      <c r="F674" s="112" t="str">
        <f ca="1">IFERROR(__xludf.DUMMYFUNCTION("""COMPUTED_VALUE"""),"2ГП ГОСТ 5950/2590 отжиг")</f>
        <v>2ГП ГОСТ 5950/2590 отжиг</v>
      </c>
      <c r="G674" s="125">
        <f ca="1">IFERROR(__xludf.DUMMYFUNCTION("""COMPUTED_VALUE"""),0.69)</f>
        <v>0.69</v>
      </c>
      <c r="H674" s="125"/>
      <c r="I674" s="131">
        <f ca="1">IFERROR(__xludf.DUMMYFUNCTION("""COMPUTED_VALUE"""),350000)</f>
        <v>350000</v>
      </c>
    </row>
    <row r="675" spans="2:9" ht="15.75" x14ac:dyDescent="0.25">
      <c r="B675" s="123" t="str">
        <f ca="1">IFERROR(__xludf.DUMMYFUNCTION("""COMPUTED_VALUE"""),"круг")</f>
        <v>круг</v>
      </c>
      <c r="C675" s="133" t="str">
        <f ca="1">IFERROR(__xludf.DUMMYFUNCTION("""COMPUTED_VALUE"""),"ХВГ")</f>
        <v>ХВГ</v>
      </c>
      <c r="D675" s="124">
        <f ca="1">IFERROR(__xludf.DUMMYFUNCTION("""COMPUTED_VALUE"""),80)</f>
        <v>80</v>
      </c>
      <c r="E675" s="124"/>
      <c r="F675" s="112" t="str">
        <f ca="1">IFERROR(__xludf.DUMMYFUNCTION("""COMPUTED_VALUE"""),"2ГП ГОСТ 5950/2590 отжиг")</f>
        <v>2ГП ГОСТ 5950/2590 отжиг</v>
      </c>
      <c r="G675" s="125">
        <f ca="1">IFERROR(__xludf.DUMMYFUNCTION("""COMPUTED_VALUE"""),0.942)</f>
        <v>0.94199999999999995</v>
      </c>
      <c r="H675" s="125"/>
      <c r="I675" s="131">
        <f ca="1">IFERROR(__xludf.DUMMYFUNCTION("""COMPUTED_VALUE"""),350000)</f>
        <v>350000</v>
      </c>
    </row>
    <row r="676" spans="2:9" ht="15.75" x14ac:dyDescent="0.25">
      <c r="B676" s="123" t="str">
        <f ca="1">IFERROR(__xludf.DUMMYFUNCTION("""COMPUTED_VALUE"""),"круг")</f>
        <v>круг</v>
      </c>
      <c r="C676" s="133" t="str">
        <f ca="1">IFERROR(__xludf.DUMMYFUNCTION("""COMPUTED_VALUE"""),"ХВГ")</f>
        <v>ХВГ</v>
      </c>
      <c r="D676" s="124">
        <f ca="1">IFERROR(__xludf.DUMMYFUNCTION("""COMPUTED_VALUE"""),80)</f>
        <v>80</v>
      </c>
      <c r="E676" s="124"/>
      <c r="F676" s="112" t="str">
        <f ca="1">IFERROR(__xludf.DUMMYFUNCTION("""COMPUTED_VALUE"""),"2ГП ГОСТ 5950/2590")</f>
        <v>2ГП ГОСТ 5950/2590</v>
      </c>
      <c r="G676" s="125">
        <f ca="1">IFERROR(__xludf.DUMMYFUNCTION("""COMPUTED_VALUE"""),0.858)</f>
        <v>0.85799999999999998</v>
      </c>
      <c r="H676" s="125"/>
      <c r="I676" s="131">
        <f ca="1">IFERROR(__xludf.DUMMYFUNCTION("""COMPUTED_VALUE"""),340000)</f>
        <v>340000</v>
      </c>
    </row>
    <row r="677" spans="2:9" ht="15.75" x14ac:dyDescent="0.25">
      <c r="B677" s="123" t="str">
        <f ca="1">IFERROR(__xludf.DUMMYFUNCTION("""COMPUTED_VALUE"""),"круг")</f>
        <v>круг</v>
      </c>
      <c r="C677" s="133" t="str">
        <f ca="1">IFERROR(__xludf.DUMMYFUNCTION("""COMPUTED_VALUE"""),"ХВГ")</f>
        <v>ХВГ</v>
      </c>
      <c r="D677" s="124">
        <f ca="1">IFERROR(__xludf.DUMMYFUNCTION("""COMPUTED_VALUE"""),90)</f>
        <v>90</v>
      </c>
      <c r="E677" s="124"/>
      <c r="F677" s="112" t="str">
        <f ca="1">IFERROR(__xludf.DUMMYFUNCTION("""COMPUTED_VALUE"""),"2ГП ГОСТ 5950/2590 отжиг, обточка")</f>
        <v>2ГП ГОСТ 5950/2590 отжиг, обточка</v>
      </c>
      <c r="G677" s="125">
        <f ca="1">IFERROR(__xludf.DUMMYFUNCTION("""COMPUTED_VALUE"""),2.293)</f>
        <v>2.2930000000000001</v>
      </c>
      <c r="H677" s="125"/>
      <c r="I677" s="131">
        <f ca="1">IFERROR(__xludf.DUMMYFUNCTION("""COMPUTED_VALUE"""),350000)</f>
        <v>350000</v>
      </c>
    </row>
    <row r="678" spans="2:9" ht="15.75" x14ac:dyDescent="0.25">
      <c r="B678" s="123" t="str">
        <f ca="1">IFERROR(__xludf.DUMMYFUNCTION("""COMPUTED_VALUE"""),"круг")</f>
        <v>круг</v>
      </c>
      <c r="C678" s="133" t="str">
        <f ca="1">IFERROR(__xludf.DUMMYFUNCTION("""COMPUTED_VALUE"""),"ХВГ")</f>
        <v>ХВГ</v>
      </c>
      <c r="D678" s="124">
        <f ca="1">IFERROR(__xludf.DUMMYFUNCTION("""COMPUTED_VALUE"""),100)</f>
        <v>100</v>
      </c>
      <c r="E678" s="124"/>
      <c r="F678" s="112" t="str">
        <f ca="1">IFERROR(__xludf.DUMMYFUNCTION("""COMPUTED_VALUE"""),"2ГП ГОСТ 5950/2590 отжиг, обточка")</f>
        <v>2ГП ГОСТ 5950/2590 отжиг, обточка</v>
      </c>
      <c r="G678" s="125">
        <f ca="1">IFERROR(__xludf.DUMMYFUNCTION("""COMPUTED_VALUE"""),2.52699999999999)</f>
        <v>2.5269999999999899</v>
      </c>
      <c r="H678" s="125"/>
      <c r="I678" s="131">
        <f ca="1">IFERROR(__xludf.DUMMYFUNCTION("""COMPUTED_VALUE"""),350000)</f>
        <v>350000</v>
      </c>
    </row>
    <row r="679" spans="2:9" ht="15.75" x14ac:dyDescent="0.25">
      <c r="B679" s="123" t="str">
        <f ca="1">IFERROR(__xludf.DUMMYFUNCTION("""COMPUTED_VALUE"""),"круг")</f>
        <v>круг</v>
      </c>
      <c r="C679" s="133" t="str">
        <f ca="1">IFERROR(__xludf.DUMMYFUNCTION("""COMPUTED_VALUE"""),"ХВГ")</f>
        <v>ХВГ</v>
      </c>
      <c r="D679" s="124">
        <f ca="1">IFERROR(__xludf.DUMMYFUNCTION("""COMPUTED_VALUE"""),100)</f>
        <v>100</v>
      </c>
      <c r="E679" s="124"/>
      <c r="F679" s="112" t="str">
        <f ca="1">IFERROR(__xludf.DUMMYFUNCTION("""COMPUTED_VALUE"""),"2ГП ГОСТ 5950/2590")</f>
        <v>2ГП ГОСТ 5950/2590</v>
      </c>
      <c r="G679" s="125">
        <f ca="1">IFERROR(__xludf.DUMMYFUNCTION("""COMPUTED_VALUE"""),0.096)</f>
        <v>9.6000000000000002E-2</v>
      </c>
      <c r="H679" s="125"/>
      <c r="I679" s="131">
        <f ca="1">IFERROR(__xludf.DUMMYFUNCTION("""COMPUTED_VALUE"""),340000)</f>
        <v>340000</v>
      </c>
    </row>
    <row r="680" spans="2:9" ht="15.75" x14ac:dyDescent="0.25">
      <c r="B680" s="123" t="str">
        <f ca="1">IFERROR(__xludf.DUMMYFUNCTION("""COMPUTED_VALUE"""),"круг")</f>
        <v>круг</v>
      </c>
      <c r="C680" s="133" t="str">
        <f ca="1">IFERROR(__xludf.DUMMYFUNCTION("""COMPUTED_VALUE"""),"ХВГ")</f>
        <v>ХВГ</v>
      </c>
      <c r="D680" s="124">
        <f ca="1">IFERROR(__xludf.DUMMYFUNCTION("""COMPUTED_VALUE"""),110)</f>
        <v>110</v>
      </c>
      <c r="E680" s="124"/>
      <c r="F680" s="112" t="str">
        <f ca="1">IFERROR(__xludf.DUMMYFUNCTION("""COMPUTED_VALUE"""),"2ГП ГОСТ 5950/2590 отжиг, обточка")</f>
        <v>2ГП ГОСТ 5950/2590 отжиг, обточка</v>
      </c>
      <c r="G680" s="125">
        <f ca="1">IFERROR(__xludf.DUMMYFUNCTION("""COMPUTED_VALUE"""),1.492)</f>
        <v>1.492</v>
      </c>
      <c r="H680" s="125"/>
      <c r="I680" s="131">
        <f ca="1">IFERROR(__xludf.DUMMYFUNCTION("""COMPUTED_VALUE"""),350000)</f>
        <v>350000</v>
      </c>
    </row>
    <row r="681" spans="2:9" ht="15.75" x14ac:dyDescent="0.25">
      <c r="B681" s="123" t="str">
        <f ca="1">IFERROR(__xludf.DUMMYFUNCTION("""COMPUTED_VALUE"""),"круг")</f>
        <v>круг</v>
      </c>
      <c r="C681" s="133" t="str">
        <f ca="1">IFERROR(__xludf.DUMMYFUNCTION("""COMPUTED_VALUE"""),"ХВГ")</f>
        <v>ХВГ</v>
      </c>
      <c r="D681" s="124">
        <f ca="1">IFERROR(__xludf.DUMMYFUNCTION("""COMPUTED_VALUE"""),120)</f>
        <v>120</v>
      </c>
      <c r="E681" s="124"/>
      <c r="F681" s="112" t="str">
        <f ca="1">IFERROR(__xludf.DUMMYFUNCTION("""COMPUTED_VALUE""")," ")</f>
        <v xml:space="preserve"> </v>
      </c>
      <c r="G681" s="125">
        <f ca="1">IFERROR(__xludf.DUMMYFUNCTION("""COMPUTED_VALUE"""),2.735)</f>
        <v>2.7349999999999999</v>
      </c>
      <c r="H681" s="125"/>
      <c r="I681" s="131">
        <f ca="1">IFERROR(__xludf.DUMMYFUNCTION("""COMPUTED_VALUE"""),350000)</f>
        <v>350000</v>
      </c>
    </row>
    <row r="682" spans="2:9" ht="15.75" x14ac:dyDescent="0.25">
      <c r="B682" s="123" t="str">
        <f ca="1">IFERROR(__xludf.DUMMYFUNCTION("""COMPUTED_VALUE"""),"круг")</f>
        <v>круг</v>
      </c>
      <c r="C682" s="133" t="str">
        <f ca="1">IFERROR(__xludf.DUMMYFUNCTION("""COMPUTED_VALUE"""),"ХВГ")</f>
        <v>ХВГ</v>
      </c>
      <c r="D682" s="124">
        <f ca="1">IFERROR(__xludf.DUMMYFUNCTION("""COMPUTED_VALUE"""),130)</f>
        <v>130</v>
      </c>
      <c r="E682" s="124"/>
      <c r="F682" s="112" t="str">
        <f ca="1">IFERROR(__xludf.DUMMYFUNCTION("""COMPUTED_VALUE"""),"2ГП ГОСТ 5950/2590 отжиг, обточка")</f>
        <v>2ГП ГОСТ 5950/2590 отжиг, обточка</v>
      </c>
      <c r="G682" s="125">
        <f ca="1">IFERROR(__xludf.DUMMYFUNCTION("""COMPUTED_VALUE"""),1.772)</f>
        <v>1.772</v>
      </c>
      <c r="H682" s="125"/>
      <c r="I682" s="131">
        <f ca="1">IFERROR(__xludf.DUMMYFUNCTION("""COMPUTED_VALUE"""),350000)</f>
        <v>350000</v>
      </c>
    </row>
    <row r="683" spans="2:9" ht="15.75" x14ac:dyDescent="0.25">
      <c r="B683" s="123" t="str">
        <f ca="1">IFERROR(__xludf.DUMMYFUNCTION("""COMPUTED_VALUE"""),"круг")</f>
        <v>круг</v>
      </c>
      <c r="C683" s="133" t="str">
        <f ca="1">IFERROR(__xludf.DUMMYFUNCTION("""COMPUTED_VALUE"""),"ХВГ")</f>
        <v>ХВГ</v>
      </c>
      <c r="D683" s="124">
        <f ca="1">IFERROR(__xludf.DUMMYFUNCTION("""COMPUTED_VALUE"""),140)</f>
        <v>140</v>
      </c>
      <c r="E683" s="124"/>
      <c r="F683" s="112" t="str">
        <f ca="1">IFERROR(__xludf.DUMMYFUNCTION("""COMPUTED_VALUE"""),"2ГП ГОСТ 5950/2590")</f>
        <v>2ГП ГОСТ 5950/2590</v>
      </c>
      <c r="G683" s="125">
        <f ca="1">IFERROR(__xludf.DUMMYFUNCTION("""COMPUTED_VALUE"""),3.879)</f>
        <v>3.879</v>
      </c>
      <c r="H683" s="125"/>
      <c r="I683" s="131">
        <f ca="1">IFERROR(__xludf.DUMMYFUNCTION("""COMPUTED_VALUE"""),350000)</f>
        <v>350000</v>
      </c>
    </row>
    <row r="684" spans="2:9" ht="15.75" x14ac:dyDescent="0.25">
      <c r="B684" s="123" t="str">
        <f ca="1">IFERROR(__xludf.DUMMYFUNCTION("""COMPUTED_VALUE"""),"круг")</f>
        <v>круг</v>
      </c>
      <c r="C684" s="133" t="str">
        <f ca="1">IFERROR(__xludf.DUMMYFUNCTION("""COMPUTED_VALUE"""),"ХВГ")</f>
        <v>ХВГ</v>
      </c>
      <c r="D684" s="124">
        <f ca="1">IFERROR(__xludf.DUMMYFUNCTION("""COMPUTED_VALUE"""),150)</f>
        <v>150</v>
      </c>
      <c r="E684" s="124"/>
      <c r="F684" s="112" t="str">
        <f ca="1">IFERROR(__xludf.DUMMYFUNCTION("""COMPUTED_VALUE"""),"2ГП ГОСТ 5950/2590")</f>
        <v>2ГП ГОСТ 5950/2590</v>
      </c>
      <c r="G684" s="125">
        <f ca="1">IFERROR(__xludf.DUMMYFUNCTION("""COMPUTED_VALUE"""),0.189)</f>
        <v>0.189</v>
      </c>
      <c r="H684" s="125"/>
      <c r="I684" s="131">
        <f ca="1">IFERROR(__xludf.DUMMYFUNCTION("""COMPUTED_VALUE"""),350000)</f>
        <v>350000</v>
      </c>
    </row>
    <row r="685" spans="2:9" ht="15.75" x14ac:dyDescent="0.25">
      <c r="B685" s="123" t="str">
        <f ca="1">IFERROR(__xludf.DUMMYFUNCTION("""COMPUTED_VALUE"""),"круг")</f>
        <v>круг</v>
      </c>
      <c r="C685" s="133" t="str">
        <f ca="1">IFERROR(__xludf.DUMMYFUNCTION("""COMPUTED_VALUE"""),"ХВГ")</f>
        <v>ХВГ</v>
      </c>
      <c r="D685" s="124">
        <f ca="1">IFERROR(__xludf.DUMMYFUNCTION("""COMPUTED_VALUE"""),150)</f>
        <v>150</v>
      </c>
      <c r="E685" s="124"/>
      <c r="F685" s="112" t="str">
        <f ca="1">IFERROR(__xludf.DUMMYFUNCTION("""COMPUTED_VALUE"""),"3ГП ГОСТ 5950/2590 отжиг")</f>
        <v>3ГП ГОСТ 5950/2590 отжиг</v>
      </c>
      <c r="G685" s="125">
        <f ca="1">IFERROR(__xludf.DUMMYFUNCTION("""COMPUTED_VALUE"""),0.68)</f>
        <v>0.68</v>
      </c>
      <c r="H685" s="125"/>
      <c r="I685" s="131">
        <f ca="1">IFERROR(__xludf.DUMMYFUNCTION("""COMPUTED_VALUE"""),399000)</f>
        <v>399000</v>
      </c>
    </row>
    <row r="686" spans="2:9" ht="15.75" x14ac:dyDescent="0.25">
      <c r="B686" s="123" t="str">
        <f ca="1">IFERROR(__xludf.DUMMYFUNCTION("""COMPUTED_VALUE"""),"круг")</f>
        <v>круг</v>
      </c>
      <c r="C686" s="133" t="str">
        <f ca="1">IFERROR(__xludf.DUMMYFUNCTION("""COMPUTED_VALUE"""),"ХВГ")</f>
        <v>ХВГ</v>
      </c>
      <c r="D686" s="124">
        <f ca="1">IFERROR(__xludf.DUMMYFUNCTION("""COMPUTED_VALUE"""),150)</f>
        <v>150</v>
      </c>
      <c r="E686" s="124"/>
      <c r="F686" s="112" t="str">
        <f ca="1">IFERROR(__xludf.DUMMYFUNCTION("""COMPUTED_VALUE"""),"3ГП ГОСТ 5950/2590 отжиг")</f>
        <v>3ГП ГОСТ 5950/2590 отжиг</v>
      </c>
      <c r="G686" s="125">
        <f ca="1">IFERROR(__xludf.DUMMYFUNCTION("""COMPUTED_VALUE"""),2.085)</f>
        <v>2.085</v>
      </c>
      <c r="H686" s="125"/>
      <c r="I686" s="131">
        <f ca="1">IFERROR(__xludf.DUMMYFUNCTION("""COMPUTED_VALUE"""),399000)</f>
        <v>399000</v>
      </c>
    </row>
    <row r="687" spans="2:9" ht="15.75" x14ac:dyDescent="0.25">
      <c r="B687" s="123" t="str">
        <f ca="1">IFERROR(__xludf.DUMMYFUNCTION("""COMPUTED_VALUE"""),"круг")</f>
        <v>круг</v>
      </c>
      <c r="C687" s="133" t="str">
        <f ca="1">IFERROR(__xludf.DUMMYFUNCTION("""COMPUTED_VALUE"""),"ХВГ")</f>
        <v>ХВГ</v>
      </c>
      <c r="D687" s="124">
        <f ca="1">IFERROR(__xludf.DUMMYFUNCTION("""COMPUTED_VALUE"""),160)</f>
        <v>160</v>
      </c>
      <c r="E687" s="124"/>
      <c r="F687" s="112" t="str">
        <f ca="1">IFERROR(__xludf.DUMMYFUNCTION("""COMPUTED_VALUE"""),"2ГП ГОСТ 5950/2590")</f>
        <v>2ГП ГОСТ 5950/2590</v>
      </c>
      <c r="G687" s="125">
        <f ca="1">IFERROR(__xludf.DUMMYFUNCTION("""COMPUTED_VALUE"""),2.354)</f>
        <v>2.3540000000000001</v>
      </c>
      <c r="H687" s="125"/>
      <c r="I687" s="131">
        <f ca="1">IFERROR(__xludf.DUMMYFUNCTION("""COMPUTED_VALUE"""),350000)</f>
        <v>350000</v>
      </c>
    </row>
    <row r="688" spans="2:9" ht="15.75" x14ac:dyDescent="0.25">
      <c r="B688" s="123" t="str">
        <f ca="1">IFERROR(__xludf.DUMMYFUNCTION("""COMPUTED_VALUE"""),"круг")</f>
        <v>круг</v>
      </c>
      <c r="C688" s="133" t="str">
        <f ca="1">IFERROR(__xludf.DUMMYFUNCTION("""COMPUTED_VALUE"""),"ХВГ")</f>
        <v>ХВГ</v>
      </c>
      <c r="D688" s="124">
        <f ca="1">IFERROR(__xludf.DUMMYFUNCTION("""COMPUTED_VALUE"""),170)</f>
        <v>170</v>
      </c>
      <c r="E688" s="124"/>
      <c r="F688" s="112" t="str">
        <f ca="1">IFERROR(__xludf.DUMMYFUNCTION("""COMPUTED_VALUE"""),"2ГП ГОСТ 5950/2590")</f>
        <v>2ГП ГОСТ 5950/2590</v>
      </c>
      <c r="G688" s="125">
        <f ca="1">IFERROR(__xludf.DUMMYFUNCTION("""COMPUTED_VALUE"""),0.448)</f>
        <v>0.44800000000000001</v>
      </c>
      <c r="H688" s="125"/>
      <c r="I688" s="131">
        <f ca="1">IFERROR(__xludf.DUMMYFUNCTION("""COMPUTED_VALUE"""),340000)</f>
        <v>340000</v>
      </c>
    </row>
    <row r="689" spans="2:9" ht="15.75" x14ac:dyDescent="0.25">
      <c r="B689" s="123" t="str">
        <f ca="1">IFERROR(__xludf.DUMMYFUNCTION("""COMPUTED_VALUE"""),"круг")</f>
        <v>круг</v>
      </c>
      <c r="C689" s="133" t="str">
        <f ca="1">IFERROR(__xludf.DUMMYFUNCTION("""COMPUTED_VALUE"""),"ХВГ")</f>
        <v>ХВГ</v>
      </c>
      <c r="D689" s="124">
        <f ca="1">IFERROR(__xludf.DUMMYFUNCTION("""COMPUTED_VALUE"""),180)</f>
        <v>180</v>
      </c>
      <c r="E689" s="124"/>
      <c r="F689" s="112" t="str">
        <f ca="1">IFERROR(__xludf.DUMMYFUNCTION("""COMPUTED_VALUE"""),"2ГП ГОСТ 5950/2590")</f>
        <v>2ГП ГОСТ 5950/2590</v>
      </c>
      <c r="G689" s="125">
        <f ca="1">IFERROR(__xludf.DUMMYFUNCTION("""COMPUTED_VALUE"""),0.0190000000000001)</f>
        <v>1.90000000000001E-2</v>
      </c>
      <c r="H689" s="125"/>
      <c r="I689" s="131">
        <f ca="1">IFERROR(__xludf.DUMMYFUNCTION("""COMPUTED_VALUE"""),340000)</f>
        <v>340000</v>
      </c>
    </row>
    <row r="690" spans="2:9" ht="15.75" x14ac:dyDescent="0.25">
      <c r="B690" s="123" t="str">
        <f ca="1">IFERROR(__xludf.DUMMYFUNCTION("""COMPUTED_VALUE"""),"круг")</f>
        <v>круг</v>
      </c>
      <c r="C690" s="133" t="str">
        <f ca="1">IFERROR(__xludf.DUMMYFUNCTION("""COMPUTED_VALUE"""),"ХВГ")</f>
        <v>ХВГ</v>
      </c>
      <c r="D690" s="124">
        <f ca="1">IFERROR(__xludf.DUMMYFUNCTION("""COMPUTED_VALUE"""),200)</f>
        <v>200</v>
      </c>
      <c r="E690" s="124"/>
      <c r="F690" s="112" t="str">
        <f ca="1">IFERROR(__xludf.DUMMYFUNCTION("""COMPUTED_VALUE"""),"3ГП ГОСТ 5950/2590 отжиг")</f>
        <v>3ГП ГОСТ 5950/2590 отжиг</v>
      </c>
      <c r="G690" s="125">
        <f ca="1">IFERROR(__xludf.DUMMYFUNCTION("""COMPUTED_VALUE"""),0.516)</f>
        <v>0.51600000000000001</v>
      </c>
      <c r="H690" s="125"/>
      <c r="I690" s="131">
        <f ca="1">IFERROR(__xludf.DUMMYFUNCTION("""COMPUTED_VALUE"""),380000)</f>
        <v>380000</v>
      </c>
    </row>
    <row r="691" spans="2:9" ht="15.75" x14ac:dyDescent="0.25">
      <c r="B691" s="123" t="str">
        <f ca="1">IFERROR(__xludf.DUMMYFUNCTION("""COMPUTED_VALUE"""),"круг")</f>
        <v>круг</v>
      </c>
      <c r="C691" s="133" t="str">
        <f ca="1">IFERROR(__xludf.DUMMYFUNCTION("""COMPUTED_VALUE"""),"ХВГ")</f>
        <v>ХВГ</v>
      </c>
      <c r="D691" s="124">
        <f ca="1">IFERROR(__xludf.DUMMYFUNCTION("""COMPUTED_VALUE"""),200)</f>
        <v>200</v>
      </c>
      <c r="E691" s="124"/>
      <c r="F691" s="112" t="str">
        <f ca="1">IFERROR(__xludf.DUMMYFUNCTION("""COMPUTED_VALUE"""),"2ГП ГОСТ 5950/2590")</f>
        <v>2ГП ГОСТ 5950/2590</v>
      </c>
      <c r="G691" s="125">
        <f ca="1">IFERROR(__xludf.DUMMYFUNCTION("""COMPUTED_VALUE"""),0.0820000000000003)</f>
        <v>8.2000000000000295E-2</v>
      </c>
      <c r="H691" s="125"/>
      <c r="I691" s="131">
        <f ca="1">IFERROR(__xludf.DUMMYFUNCTION("""COMPUTED_VALUE"""),380000)</f>
        <v>380000</v>
      </c>
    </row>
    <row r="692" spans="2:9" ht="15.75" x14ac:dyDescent="0.25">
      <c r="B692" s="123" t="str">
        <f ca="1">IFERROR(__xludf.DUMMYFUNCTION("""COMPUTED_VALUE"""),"круг ков")</f>
        <v>круг ков</v>
      </c>
      <c r="C692" s="133" t="str">
        <f ca="1">IFERROR(__xludf.DUMMYFUNCTION("""COMPUTED_VALUE"""),"ХВГ")</f>
        <v>ХВГ</v>
      </c>
      <c r="D692" s="124">
        <f ca="1">IFERROR(__xludf.DUMMYFUNCTION("""COMPUTED_VALUE"""),250)</f>
        <v>250</v>
      </c>
      <c r="E692" s="124"/>
      <c r="F692" s="112" t="str">
        <f ca="1">IFERROR(__xludf.DUMMYFUNCTION("""COMPUTED_VALUE"""),"для гор. обр., ")</f>
        <v xml:space="preserve">для гор. обр., </v>
      </c>
      <c r="G692" s="125">
        <f ca="1">IFERROR(__xludf.DUMMYFUNCTION("""COMPUTED_VALUE"""),0.784)</f>
        <v>0.78400000000000003</v>
      </c>
      <c r="H692" s="125"/>
      <c r="I692" s="131">
        <f ca="1">IFERROR(__xludf.DUMMYFUNCTION("""COMPUTED_VALUE"""),450000)</f>
        <v>450000</v>
      </c>
    </row>
    <row r="693" spans="2:9" ht="15.75" x14ac:dyDescent="0.25">
      <c r="B693" s="123" t="str">
        <f ca="1">IFERROR(__xludf.DUMMYFUNCTION("""COMPUTED_VALUE"""),"круг ков")</f>
        <v>круг ков</v>
      </c>
      <c r="C693" s="133" t="str">
        <f ca="1">IFERROR(__xludf.DUMMYFUNCTION("""COMPUTED_VALUE"""),"ХВГ")</f>
        <v>ХВГ</v>
      </c>
      <c r="D693" s="124">
        <f ca="1">IFERROR(__xludf.DUMMYFUNCTION("""COMPUTED_VALUE"""),250)</f>
        <v>250</v>
      </c>
      <c r="E693" s="124"/>
      <c r="F693" s="112" t="str">
        <f ca="1">IFERROR(__xludf.DUMMYFUNCTION("""COMPUTED_VALUE"""),"для гор. обр., ")</f>
        <v xml:space="preserve">для гор. обр., </v>
      </c>
      <c r="G693" s="125">
        <f ca="1">IFERROR(__xludf.DUMMYFUNCTION("""COMPUTED_VALUE"""),0.975)</f>
        <v>0.97499999999999998</v>
      </c>
      <c r="H693" s="125"/>
      <c r="I693" s="131">
        <f ca="1">IFERROR(__xludf.DUMMYFUNCTION("""COMPUTED_VALUE"""),450000)</f>
        <v>450000</v>
      </c>
    </row>
    <row r="694" spans="2:9" ht="15.75" x14ac:dyDescent="0.25">
      <c r="B694" s="123" t="str">
        <f ca="1">IFERROR(__xludf.DUMMYFUNCTION("""COMPUTED_VALUE"""),"круг ков")</f>
        <v>круг ков</v>
      </c>
      <c r="C694" s="133" t="str">
        <f ca="1">IFERROR(__xludf.DUMMYFUNCTION("""COMPUTED_VALUE"""),"ХВГ")</f>
        <v>ХВГ</v>
      </c>
      <c r="D694" s="124">
        <f ca="1">IFERROR(__xludf.DUMMYFUNCTION("""COMPUTED_VALUE"""),280)</f>
        <v>280</v>
      </c>
      <c r="E694" s="124"/>
      <c r="F694" s="112" t="str">
        <f ca="1">IFERROR(__xludf.DUMMYFUNCTION("""COMPUTED_VALUE"""),"для гор. обр., ")</f>
        <v xml:space="preserve">для гор. обр., </v>
      </c>
      <c r="G694" s="125">
        <f ca="1">IFERROR(__xludf.DUMMYFUNCTION("""COMPUTED_VALUE"""),0.379)</f>
        <v>0.379</v>
      </c>
      <c r="H694" s="125"/>
      <c r="I694" s="131">
        <f ca="1">IFERROR(__xludf.DUMMYFUNCTION("""COMPUTED_VALUE"""),450000)</f>
        <v>450000</v>
      </c>
    </row>
    <row r="695" spans="2:9" ht="15.75" x14ac:dyDescent="0.25">
      <c r="B695" s="123" t="str">
        <f ca="1">IFERROR(__xludf.DUMMYFUNCTION("""COMPUTED_VALUE"""),"круг ков")</f>
        <v>круг ков</v>
      </c>
      <c r="C695" s="133" t="str">
        <f ca="1">IFERROR(__xludf.DUMMYFUNCTION("""COMPUTED_VALUE"""),"ХВГ")</f>
        <v>ХВГ</v>
      </c>
      <c r="D695" s="124">
        <f ca="1">IFERROR(__xludf.DUMMYFUNCTION("""COMPUTED_VALUE"""),300)</f>
        <v>300</v>
      </c>
      <c r="E695" s="124"/>
      <c r="F695" s="112" t="str">
        <f ca="1">IFERROR(__xludf.DUMMYFUNCTION("""COMPUTED_VALUE"""),"для гор. обр., ")</f>
        <v xml:space="preserve">для гор. обр., </v>
      </c>
      <c r="G695" s="125">
        <f ca="1">IFERROR(__xludf.DUMMYFUNCTION("""COMPUTED_VALUE"""),1.733)</f>
        <v>1.7330000000000001</v>
      </c>
      <c r="H695" s="125"/>
      <c r="I695" s="131">
        <f ca="1">IFERROR(__xludf.DUMMYFUNCTION("""COMPUTED_VALUE"""),450000)</f>
        <v>450000</v>
      </c>
    </row>
    <row r="696" spans="2:9" ht="15.75" x14ac:dyDescent="0.25">
      <c r="B696" s="123" t="str">
        <f ca="1">IFERROR(__xludf.DUMMYFUNCTION("""COMPUTED_VALUE"""),"круг")</f>
        <v>круг</v>
      </c>
      <c r="C696" s="133" t="str">
        <f ca="1">IFERROR(__xludf.DUMMYFUNCTION("""COMPUTED_VALUE"""),"38хм")</f>
        <v>38хм</v>
      </c>
      <c r="D696" s="124">
        <f ca="1">IFERROR(__xludf.DUMMYFUNCTION("""COMPUTED_VALUE"""),10)</f>
        <v>10</v>
      </c>
      <c r="E696" s="124"/>
      <c r="F696" s="112" t="str">
        <f ca="1">IFERROR(__xludf.DUMMYFUNCTION("""COMPUTED_VALUE"""),"4950-6000, 2ГП")</f>
        <v>4950-6000, 2ГП</v>
      </c>
      <c r="G696" s="125">
        <f ca="1">IFERROR(__xludf.DUMMYFUNCTION("""COMPUTED_VALUE"""),1.53099999999999)</f>
        <v>1.5309999999999899</v>
      </c>
      <c r="H696" s="125"/>
      <c r="I696" s="131">
        <f ca="1">IFERROR(__xludf.DUMMYFUNCTION("""COMPUTED_VALUE"""),155000)</f>
        <v>155000</v>
      </c>
    </row>
    <row r="697" spans="2:9" ht="15.75" x14ac:dyDescent="0.25">
      <c r="B697" s="123" t="str">
        <f ca="1">IFERROR(__xludf.DUMMYFUNCTION("""COMPUTED_VALUE"""),"круг")</f>
        <v>круг</v>
      </c>
      <c r="C697" s="133" t="str">
        <f ca="1">IFERROR(__xludf.DUMMYFUNCTION("""COMPUTED_VALUE"""),"38хм")</f>
        <v>38хм</v>
      </c>
      <c r="D697" s="124">
        <f ca="1">IFERROR(__xludf.DUMMYFUNCTION("""COMPUTED_VALUE"""),14)</f>
        <v>14</v>
      </c>
      <c r="E697" s="124"/>
      <c r="F697" s="112"/>
      <c r="G697" s="125">
        <f ca="1">IFERROR(__xludf.DUMMYFUNCTION("""COMPUTED_VALUE"""),0.735999999999999)</f>
        <v>0.73599999999999899</v>
      </c>
      <c r="H697" s="125"/>
      <c r="I697" s="131">
        <f ca="1">IFERROR(__xludf.DUMMYFUNCTION("""COMPUTED_VALUE"""),155000)</f>
        <v>155000</v>
      </c>
    </row>
    <row r="698" spans="2:9" ht="15.75" x14ac:dyDescent="0.25">
      <c r="B698" s="123" t="str">
        <f ca="1">IFERROR(__xludf.DUMMYFUNCTION("""COMPUTED_VALUE"""),"круг")</f>
        <v>круг</v>
      </c>
      <c r="C698" s="133" t="str">
        <f ca="1">IFERROR(__xludf.DUMMYFUNCTION("""COMPUTED_VALUE"""),"38хм")</f>
        <v>38хм</v>
      </c>
      <c r="D698" s="124">
        <f ca="1">IFERROR(__xludf.DUMMYFUNCTION("""COMPUTED_VALUE"""),14)</f>
        <v>14</v>
      </c>
      <c r="E698" s="124"/>
      <c r="F698" s="112"/>
      <c r="G698" s="125">
        <f ca="1">IFERROR(__xludf.DUMMYFUNCTION("""COMPUTED_VALUE"""),1.75)</f>
        <v>1.75</v>
      </c>
      <c r="H698" s="125"/>
      <c r="I698" s="131">
        <f ca="1">IFERROR(__xludf.DUMMYFUNCTION("""COMPUTED_VALUE"""),155000)</f>
        <v>155000</v>
      </c>
    </row>
    <row r="699" spans="2:9" ht="15.75" x14ac:dyDescent="0.25">
      <c r="B699" s="123" t="str">
        <f ca="1">IFERROR(__xludf.DUMMYFUNCTION("""COMPUTED_VALUE"""),"круг")</f>
        <v>круг</v>
      </c>
      <c r="C699" s="133" t="str">
        <f ca="1">IFERROR(__xludf.DUMMYFUNCTION("""COMPUTED_VALUE"""),"38хм")</f>
        <v>38хм</v>
      </c>
      <c r="D699" s="124">
        <f ca="1">IFERROR(__xludf.DUMMYFUNCTION("""COMPUTED_VALUE"""),15)</f>
        <v>15</v>
      </c>
      <c r="E699" s="124"/>
      <c r="F699" s="112"/>
      <c r="G699" s="125">
        <f ca="1">IFERROR(__xludf.DUMMYFUNCTION("""COMPUTED_VALUE"""),0.043)</f>
        <v>4.2999999999999997E-2</v>
      </c>
      <c r="H699" s="125"/>
      <c r="I699" s="131">
        <f ca="1">IFERROR(__xludf.DUMMYFUNCTION("""COMPUTED_VALUE"""),155000)</f>
        <v>155000</v>
      </c>
    </row>
    <row r="700" spans="2:9" ht="15.75" x14ac:dyDescent="0.25">
      <c r="B700" s="123" t="str">
        <f ca="1">IFERROR(__xludf.DUMMYFUNCTION("""COMPUTED_VALUE"""),"круг")</f>
        <v>круг</v>
      </c>
      <c r="C700" s="133" t="str">
        <f ca="1">IFERROR(__xludf.DUMMYFUNCTION("""COMPUTED_VALUE"""),"38хм")</f>
        <v>38хм</v>
      </c>
      <c r="D700" s="124">
        <f ca="1">IFERROR(__xludf.DUMMYFUNCTION("""COMPUTED_VALUE"""),15)</f>
        <v>15</v>
      </c>
      <c r="E700" s="124"/>
      <c r="F700" s="112"/>
      <c r="G700" s="125">
        <f ca="1">IFERROR(__xludf.DUMMYFUNCTION("""COMPUTED_VALUE"""),1.32)</f>
        <v>1.32</v>
      </c>
      <c r="H700" s="125"/>
      <c r="I700" s="131">
        <f ca="1">IFERROR(__xludf.DUMMYFUNCTION("""COMPUTED_VALUE"""),155000)</f>
        <v>155000</v>
      </c>
    </row>
    <row r="701" spans="2:9" ht="15.75" x14ac:dyDescent="0.25">
      <c r="B701" s="123" t="str">
        <f ca="1">IFERROR(__xludf.DUMMYFUNCTION("""COMPUTED_VALUE"""),"круг")</f>
        <v>круг</v>
      </c>
      <c r="C701" s="133" t="str">
        <f ca="1">IFERROR(__xludf.DUMMYFUNCTION("""COMPUTED_VALUE"""),"38хм")</f>
        <v>38хм</v>
      </c>
      <c r="D701" s="124">
        <f ca="1">IFERROR(__xludf.DUMMYFUNCTION("""COMPUTED_VALUE"""),15)</f>
        <v>15</v>
      </c>
      <c r="E701" s="124"/>
      <c r="F701" s="112" t="str">
        <f ca="1">IFERROR(__xludf.DUMMYFUNCTION("""COMPUTED_VALUE"""),"ГОСТ4543/2590, 2ГП")</f>
        <v>ГОСТ4543/2590, 2ГП</v>
      </c>
      <c r="G701" s="125">
        <f ca="1">IFERROR(__xludf.DUMMYFUNCTION("""COMPUTED_VALUE"""),2.27)</f>
        <v>2.27</v>
      </c>
      <c r="H701" s="125"/>
      <c r="I701" s="131">
        <f ca="1">IFERROR(__xludf.DUMMYFUNCTION("""COMPUTED_VALUE"""),155000)</f>
        <v>155000</v>
      </c>
    </row>
    <row r="702" spans="2:9" ht="15.75" x14ac:dyDescent="0.25">
      <c r="B702" s="123" t="str">
        <f ca="1">IFERROR(__xludf.DUMMYFUNCTION("""COMPUTED_VALUE"""),"круг")</f>
        <v>круг</v>
      </c>
      <c r="C702" s="133" t="str">
        <f ca="1">IFERROR(__xludf.DUMMYFUNCTION("""COMPUTED_VALUE"""),"38хм")</f>
        <v>38хм</v>
      </c>
      <c r="D702" s="124">
        <f ca="1">IFERROR(__xludf.DUMMYFUNCTION("""COMPUTED_VALUE"""),16)</f>
        <v>16</v>
      </c>
      <c r="E702" s="124"/>
      <c r="F702" s="112"/>
      <c r="G702" s="125">
        <f ca="1">IFERROR(__xludf.DUMMYFUNCTION("""COMPUTED_VALUE"""),3.3381)</f>
        <v>3.3380999999999998</v>
      </c>
      <c r="H702" s="125"/>
      <c r="I702" s="131">
        <f ca="1">IFERROR(__xludf.DUMMYFUNCTION("""COMPUTED_VALUE"""),155000)</f>
        <v>155000</v>
      </c>
    </row>
    <row r="703" spans="2:9" ht="15.75" x14ac:dyDescent="0.25">
      <c r="B703" s="123" t="str">
        <f ca="1">IFERROR(__xludf.DUMMYFUNCTION("""COMPUTED_VALUE"""),"круг")</f>
        <v>круг</v>
      </c>
      <c r="C703" s="133" t="str">
        <f ca="1">IFERROR(__xludf.DUMMYFUNCTION("""COMPUTED_VALUE"""),"38хм")</f>
        <v>38хм</v>
      </c>
      <c r="D703" s="124">
        <f ca="1">IFERROR(__xludf.DUMMYFUNCTION("""COMPUTED_VALUE"""),18)</f>
        <v>18</v>
      </c>
      <c r="E703" s="124"/>
      <c r="F703" s="112" t="str">
        <f ca="1">IFERROR(__xludf.DUMMYFUNCTION("""COMPUTED_VALUE"""),"с налетом")</f>
        <v>с налетом</v>
      </c>
      <c r="G703" s="125">
        <f ca="1">IFERROR(__xludf.DUMMYFUNCTION("""COMPUTED_VALUE"""),0.0979999999999999)</f>
        <v>9.7999999999999907E-2</v>
      </c>
      <c r="H703" s="125"/>
      <c r="I703" s="131">
        <f ca="1">IFERROR(__xludf.DUMMYFUNCTION("""COMPUTED_VALUE"""),155000)</f>
        <v>155000</v>
      </c>
    </row>
    <row r="704" spans="2:9" ht="15.75" x14ac:dyDescent="0.25">
      <c r="B704" s="123" t="str">
        <f ca="1">IFERROR(__xludf.DUMMYFUNCTION("""COMPUTED_VALUE"""),"круг")</f>
        <v>круг</v>
      </c>
      <c r="C704" s="133" t="str">
        <f ca="1">IFERROR(__xludf.DUMMYFUNCTION("""COMPUTED_VALUE"""),"38хм")</f>
        <v>38хм</v>
      </c>
      <c r="D704" s="124">
        <f ca="1">IFERROR(__xludf.DUMMYFUNCTION("""COMPUTED_VALUE"""),18)</f>
        <v>18</v>
      </c>
      <c r="E704" s="124"/>
      <c r="F704" s="112" t="str">
        <f ca="1">IFERROR(__xludf.DUMMYFUNCTION("""COMPUTED_VALUE"""),"2ГП ")</f>
        <v xml:space="preserve">2ГП </v>
      </c>
      <c r="G704" s="125">
        <f ca="1">IFERROR(__xludf.DUMMYFUNCTION("""COMPUTED_VALUE"""),3.78)</f>
        <v>3.78</v>
      </c>
      <c r="H704" s="125"/>
      <c r="I704" s="131">
        <f ca="1">IFERROR(__xludf.DUMMYFUNCTION("""COMPUTED_VALUE"""),120000)</f>
        <v>120000</v>
      </c>
    </row>
    <row r="705" spans="2:9" ht="15.75" x14ac:dyDescent="0.25">
      <c r="B705" s="123" t="str">
        <f ca="1">IFERROR(__xludf.DUMMYFUNCTION("""COMPUTED_VALUE"""),"круг")</f>
        <v>круг</v>
      </c>
      <c r="C705" s="133" t="str">
        <f ca="1">IFERROR(__xludf.DUMMYFUNCTION("""COMPUTED_VALUE"""),"38хм")</f>
        <v>38хм</v>
      </c>
      <c r="D705" s="124">
        <f ca="1">IFERROR(__xludf.DUMMYFUNCTION("""COMPUTED_VALUE"""),20)</f>
        <v>20</v>
      </c>
      <c r="E705" s="124"/>
      <c r="F705" s="112"/>
      <c r="G705" s="125">
        <f ca="1">IFERROR(__xludf.DUMMYFUNCTION("""COMPUTED_VALUE"""),4)</f>
        <v>4</v>
      </c>
      <c r="H705" s="125"/>
      <c r="I705" s="131">
        <f ca="1">IFERROR(__xludf.DUMMYFUNCTION("""COMPUTED_VALUE"""),120000)</f>
        <v>120000</v>
      </c>
    </row>
    <row r="706" spans="2:9" ht="15.75" x14ac:dyDescent="0.25">
      <c r="B706" s="123" t="str">
        <f ca="1">IFERROR(__xludf.DUMMYFUNCTION("""COMPUTED_VALUE"""),"круг")</f>
        <v>круг</v>
      </c>
      <c r="C706" s="133" t="str">
        <f ca="1">IFERROR(__xludf.DUMMYFUNCTION("""COMPUTED_VALUE"""),"38хм")</f>
        <v>38хм</v>
      </c>
      <c r="D706" s="124">
        <f ca="1">IFERROR(__xludf.DUMMYFUNCTION("""COMPUTED_VALUE"""),20)</f>
        <v>20</v>
      </c>
      <c r="E706" s="124"/>
      <c r="F706" s="112" t="str">
        <f ca="1">IFERROR(__xludf.DUMMYFUNCTION("""COMPUTED_VALUE"""),"2ГП ")</f>
        <v xml:space="preserve">2ГП </v>
      </c>
      <c r="G706" s="125">
        <f ca="1">IFERROR(__xludf.DUMMYFUNCTION("""COMPUTED_VALUE"""),2.106)</f>
        <v>2.1059999999999999</v>
      </c>
      <c r="H706" s="125"/>
      <c r="I706" s="131">
        <f ca="1">IFERROR(__xludf.DUMMYFUNCTION("""COMPUTED_VALUE"""),120000)</f>
        <v>120000</v>
      </c>
    </row>
    <row r="707" spans="2:9" ht="15.75" x14ac:dyDescent="0.25">
      <c r="B707" s="123" t="str">
        <f ca="1">IFERROR(__xludf.DUMMYFUNCTION("""COMPUTED_VALUE"""),"круг")</f>
        <v>круг</v>
      </c>
      <c r="C707" s="133" t="str">
        <f ca="1">IFERROR(__xludf.DUMMYFUNCTION("""COMPUTED_VALUE"""),"38хм")</f>
        <v>38хм</v>
      </c>
      <c r="D707" s="124">
        <f ca="1">IFERROR(__xludf.DUMMYFUNCTION("""COMPUTED_VALUE"""),22)</f>
        <v>22</v>
      </c>
      <c r="E707" s="124"/>
      <c r="F707" s="112" t="str">
        <f ca="1">IFERROR(__xludf.DUMMYFUNCTION("""COMPUTED_VALUE""")," ")</f>
        <v xml:space="preserve"> </v>
      </c>
      <c r="G707" s="125">
        <f ca="1">IFERROR(__xludf.DUMMYFUNCTION("""COMPUTED_VALUE"""),0.577)</f>
        <v>0.57699999999999996</v>
      </c>
      <c r="H707" s="125"/>
      <c r="I707" s="131">
        <f ca="1">IFERROR(__xludf.DUMMYFUNCTION("""COMPUTED_VALUE"""),150000)</f>
        <v>150000</v>
      </c>
    </row>
    <row r="708" spans="2:9" ht="15.75" x14ac:dyDescent="0.25">
      <c r="B708" s="123" t="str">
        <f ca="1">IFERROR(__xludf.DUMMYFUNCTION("""COMPUTED_VALUE"""),"круг")</f>
        <v>круг</v>
      </c>
      <c r="C708" s="133" t="str">
        <f ca="1">IFERROR(__xludf.DUMMYFUNCTION("""COMPUTED_VALUE"""),"38хм")</f>
        <v>38хм</v>
      </c>
      <c r="D708" s="124">
        <f ca="1">IFERROR(__xludf.DUMMYFUNCTION("""COMPUTED_VALUE"""),24)</f>
        <v>24</v>
      </c>
      <c r="E708" s="124"/>
      <c r="F708" s="112" t="str">
        <f ca="1">IFERROR(__xludf.DUMMYFUNCTION("""COMPUTED_VALUE"""),"2ГП ")</f>
        <v xml:space="preserve">2ГП </v>
      </c>
      <c r="G708" s="125">
        <f ca="1">IFERROR(__xludf.DUMMYFUNCTION("""COMPUTED_VALUE"""),3.748)</f>
        <v>3.7480000000000002</v>
      </c>
      <c r="H708" s="125"/>
      <c r="I708" s="131">
        <f ca="1">IFERROR(__xludf.DUMMYFUNCTION("""COMPUTED_VALUE"""),120000)</f>
        <v>120000</v>
      </c>
    </row>
    <row r="709" spans="2:9" ht="15.75" x14ac:dyDescent="0.25">
      <c r="B709" s="123" t="str">
        <f ca="1">IFERROR(__xludf.DUMMYFUNCTION("""COMPUTED_VALUE"""),"круг")</f>
        <v>круг</v>
      </c>
      <c r="C709" s="133" t="str">
        <f ca="1">IFERROR(__xludf.DUMMYFUNCTION("""COMPUTED_VALUE"""),"38хм")</f>
        <v>38хм</v>
      </c>
      <c r="D709" s="124">
        <f ca="1">IFERROR(__xludf.DUMMYFUNCTION("""COMPUTED_VALUE"""),25)</f>
        <v>25</v>
      </c>
      <c r="E709" s="124"/>
      <c r="F709" s="112"/>
      <c r="G709" s="125">
        <f ca="1">IFERROR(__xludf.DUMMYFUNCTION("""COMPUTED_VALUE"""),4)</f>
        <v>4</v>
      </c>
      <c r="H709" s="125"/>
      <c r="I709" s="131">
        <f ca="1">IFERROR(__xludf.DUMMYFUNCTION("""COMPUTED_VALUE"""),120000)</f>
        <v>120000</v>
      </c>
    </row>
    <row r="710" spans="2:9" ht="15.75" x14ac:dyDescent="0.25">
      <c r="B710" s="123" t="str">
        <f ca="1">IFERROR(__xludf.DUMMYFUNCTION("""COMPUTED_VALUE"""),"круг")</f>
        <v>круг</v>
      </c>
      <c r="C710" s="133" t="str">
        <f ca="1">IFERROR(__xludf.DUMMYFUNCTION("""COMPUTED_VALUE"""),"38хм")</f>
        <v>38хм</v>
      </c>
      <c r="D710" s="124">
        <f ca="1">IFERROR(__xludf.DUMMYFUNCTION("""COMPUTED_VALUE"""),26)</f>
        <v>26</v>
      </c>
      <c r="E710" s="124"/>
      <c r="F710" s="112" t="str">
        <f ca="1">IFERROR(__xludf.DUMMYFUNCTION("""COMPUTED_VALUE"""),"  ")</f>
        <v xml:space="preserve">  </v>
      </c>
      <c r="G710" s="125">
        <f ca="1">IFERROR(__xludf.DUMMYFUNCTION("""COMPUTED_VALUE"""),0.568)</f>
        <v>0.56799999999999995</v>
      </c>
      <c r="H710" s="125"/>
      <c r="I710" s="131">
        <f ca="1">IFERROR(__xludf.DUMMYFUNCTION("""COMPUTED_VALUE"""),145000)</f>
        <v>145000</v>
      </c>
    </row>
    <row r="711" spans="2:9" ht="15.75" x14ac:dyDescent="0.25">
      <c r="B711" s="123" t="str">
        <f ca="1">IFERROR(__xludf.DUMMYFUNCTION("""COMPUTED_VALUE"""),"круг")</f>
        <v>круг</v>
      </c>
      <c r="C711" s="133" t="str">
        <f ca="1">IFERROR(__xludf.DUMMYFUNCTION("""COMPUTED_VALUE"""),"38хм")</f>
        <v>38хм</v>
      </c>
      <c r="D711" s="124">
        <f ca="1">IFERROR(__xludf.DUMMYFUNCTION("""COMPUTED_VALUE"""),28)</f>
        <v>28</v>
      </c>
      <c r="E711" s="124"/>
      <c r="F711" s="112" t="str">
        <f ca="1">IFERROR(__xludf.DUMMYFUNCTION("""COMPUTED_VALUE"""),"2ГП")</f>
        <v>2ГП</v>
      </c>
      <c r="G711" s="125">
        <f ca="1">IFERROR(__xludf.DUMMYFUNCTION("""COMPUTED_VALUE"""),2.126)</f>
        <v>2.1259999999999999</v>
      </c>
      <c r="H711" s="125"/>
      <c r="I711" s="131">
        <f ca="1">IFERROR(__xludf.DUMMYFUNCTION("""COMPUTED_VALUE"""),120000)</f>
        <v>120000</v>
      </c>
    </row>
    <row r="712" spans="2:9" ht="15.75" x14ac:dyDescent="0.25">
      <c r="B712" s="123" t="str">
        <f ca="1">IFERROR(__xludf.DUMMYFUNCTION("""COMPUTED_VALUE"""),"круг")</f>
        <v>круг</v>
      </c>
      <c r="C712" s="133" t="str">
        <f ca="1">IFERROR(__xludf.DUMMYFUNCTION("""COMPUTED_VALUE"""),"38хм")</f>
        <v>38хм</v>
      </c>
      <c r="D712" s="124">
        <f ca="1">IFERROR(__xludf.DUMMYFUNCTION("""COMPUTED_VALUE"""),30)</f>
        <v>30</v>
      </c>
      <c r="E712" s="124"/>
      <c r="F712" s="112" t="str">
        <f ca="1">IFERROR(__xludf.DUMMYFUNCTION("""COMPUTED_VALUE"""),"ГОСТ4543/2590, 2ГП")</f>
        <v>ГОСТ4543/2590, 2ГП</v>
      </c>
      <c r="G712" s="125">
        <f ca="1">IFERROR(__xludf.DUMMYFUNCTION("""COMPUTED_VALUE"""),0.0709999999999997)</f>
        <v>7.0999999999999702E-2</v>
      </c>
      <c r="H712" s="125"/>
      <c r="I712" s="131">
        <f ca="1">IFERROR(__xludf.DUMMYFUNCTION("""COMPUTED_VALUE"""),135000)</f>
        <v>135000</v>
      </c>
    </row>
    <row r="713" spans="2:9" ht="15.75" x14ac:dyDescent="0.25">
      <c r="B713" s="123" t="str">
        <f ca="1">IFERROR(__xludf.DUMMYFUNCTION("""COMPUTED_VALUE"""),"круг")</f>
        <v>круг</v>
      </c>
      <c r="C713" s="133" t="str">
        <f ca="1">IFERROR(__xludf.DUMMYFUNCTION("""COMPUTED_VALUE"""),"38хм")</f>
        <v>38хм</v>
      </c>
      <c r="D713" s="124">
        <f ca="1">IFERROR(__xludf.DUMMYFUNCTION("""COMPUTED_VALUE"""),30)</f>
        <v>30</v>
      </c>
      <c r="E713" s="124"/>
      <c r="F713" s="112" t="str">
        <f ca="1">IFERROR(__xludf.DUMMYFUNCTION("""COMPUTED_VALUE"""),"2ГП ")</f>
        <v xml:space="preserve">2ГП </v>
      </c>
      <c r="G713" s="125">
        <f ca="1">IFERROR(__xludf.DUMMYFUNCTION("""COMPUTED_VALUE"""),3.153)</f>
        <v>3.153</v>
      </c>
      <c r="H713" s="125"/>
      <c r="I713" s="131">
        <f ca="1">IFERROR(__xludf.DUMMYFUNCTION("""COMPUTED_VALUE"""),150000)</f>
        <v>150000</v>
      </c>
    </row>
    <row r="714" spans="2:9" ht="15.75" x14ac:dyDescent="0.25">
      <c r="B714" s="123" t="str">
        <f ca="1">IFERROR(__xludf.DUMMYFUNCTION("""COMPUTED_VALUE"""),"круг")</f>
        <v>круг</v>
      </c>
      <c r="C714" s="133" t="str">
        <f ca="1">IFERROR(__xludf.DUMMYFUNCTION("""COMPUTED_VALUE"""),"38хм")</f>
        <v>38хм</v>
      </c>
      <c r="D714" s="124">
        <f ca="1">IFERROR(__xludf.DUMMYFUNCTION("""COMPUTED_VALUE"""),32)</f>
        <v>32</v>
      </c>
      <c r="E714" s="124"/>
      <c r="F714" s="112" t="str">
        <f ca="1">IFERROR(__xludf.DUMMYFUNCTION("""COMPUTED_VALUE"""),"2ГП ")</f>
        <v xml:space="preserve">2ГП </v>
      </c>
      <c r="G714" s="125">
        <f ca="1">IFERROR(__xludf.DUMMYFUNCTION("""COMPUTED_VALUE"""),0.169999999999999)</f>
        <v>0.16999999999999901</v>
      </c>
      <c r="H714" s="125"/>
      <c r="I714" s="131">
        <f ca="1">IFERROR(__xludf.DUMMYFUNCTION("""COMPUTED_VALUE"""),135000)</f>
        <v>135000</v>
      </c>
    </row>
    <row r="715" spans="2:9" ht="15.75" x14ac:dyDescent="0.25">
      <c r="B715" s="123" t="str">
        <f ca="1">IFERROR(__xludf.DUMMYFUNCTION("""COMPUTED_VALUE"""),"круг")</f>
        <v>круг</v>
      </c>
      <c r="C715" s="133" t="str">
        <f ca="1">IFERROR(__xludf.DUMMYFUNCTION("""COMPUTED_VALUE"""),"38хм")</f>
        <v>38хм</v>
      </c>
      <c r="D715" s="124">
        <f ca="1">IFERROR(__xludf.DUMMYFUNCTION("""COMPUTED_VALUE"""),36)</f>
        <v>36</v>
      </c>
      <c r="E715" s="124"/>
      <c r="F715" s="112" t="str">
        <f ca="1">IFERROR(__xludf.DUMMYFUNCTION("""COMPUTED_VALUE"""),"2ГП ")</f>
        <v xml:space="preserve">2ГП </v>
      </c>
      <c r="G715" s="125">
        <f ca="1">IFERROR(__xludf.DUMMYFUNCTION("""COMPUTED_VALUE"""),1.499)</f>
        <v>1.4990000000000001</v>
      </c>
      <c r="H715" s="125"/>
      <c r="I715" s="131">
        <f ca="1">IFERROR(__xludf.DUMMYFUNCTION("""COMPUTED_VALUE"""),135000)</f>
        <v>135000</v>
      </c>
    </row>
    <row r="716" spans="2:9" ht="15.75" x14ac:dyDescent="0.25">
      <c r="B716" s="123" t="str">
        <f ca="1">IFERROR(__xludf.DUMMYFUNCTION("""COMPUTED_VALUE"""),"круг")</f>
        <v>круг</v>
      </c>
      <c r="C716" s="133" t="str">
        <f ca="1">IFERROR(__xludf.DUMMYFUNCTION("""COMPUTED_VALUE"""),"38хм")</f>
        <v>38хм</v>
      </c>
      <c r="D716" s="124">
        <f ca="1">IFERROR(__xludf.DUMMYFUNCTION("""COMPUTED_VALUE"""),38)</f>
        <v>38</v>
      </c>
      <c r="E716" s="124"/>
      <c r="F716" s="112" t="str">
        <f ca="1">IFERROR(__xludf.DUMMYFUNCTION("""COMPUTED_VALUE"""),"2ГП ")</f>
        <v xml:space="preserve">2ГП </v>
      </c>
      <c r="G716" s="125">
        <f ca="1">IFERROR(__xludf.DUMMYFUNCTION("""COMPUTED_VALUE"""),2.80499999999999)</f>
        <v>2.8049999999999899</v>
      </c>
      <c r="H716" s="125"/>
      <c r="I716" s="131">
        <f ca="1">IFERROR(__xludf.DUMMYFUNCTION("""COMPUTED_VALUE"""),135000)</f>
        <v>135000</v>
      </c>
    </row>
    <row r="717" spans="2:9" ht="15.75" x14ac:dyDescent="0.25">
      <c r="B717" s="123" t="str">
        <f ca="1">IFERROR(__xludf.DUMMYFUNCTION("""COMPUTED_VALUE"""),"круг")</f>
        <v>круг</v>
      </c>
      <c r="C717" s="133" t="str">
        <f ca="1">IFERROR(__xludf.DUMMYFUNCTION("""COMPUTED_VALUE"""),"38хм")</f>
        <v>38хм</v>
      </c>
      <c r="D717" s="124">
        <f ca="1">IFERROR(__xludf.DUMMYFUNCTION("""COMPUTED_VALUE"""),40)</f>
        <v>40</v>
      </c>
      <c r="E717" s="124"/>
      <c r="F717" s="112"/>
      <c r="G717" s="125">
        <f ca="1">IFERROR(__xludf.DUMMYFUNCTION("""COMPUTED_VALUE"""),4)</f>
        <v>4</v>
      </c>
      <c r="H717" s="125"/>
      <c r="I717" s="131">
        <f ca="1">IFERROR(__xludf.DUMMYFUNCTION("""COMPUTED_VALUE"""),120000)</f>
        <v>120000</v>
      </c>
    </row>
    <row r="718" spans="2:9" ht="15.75" x14ac:dyDescent="0.25">
      <c r="B718" s="123" t="str">
        <f ca="1">IFERROR(__xludf.DUMMYFUNCTION("""COMPUTED_VALUE"""),"круг")</f>
        <v>круг</v>
      </c>
      <c r="C718" s="133" t="str">
        <f ca="1">IFERROR(__xludf.DUMMYFUNCTION("""COMPUTED_VALUE"""),"38хм")</f>
        <v>38хм</v>
      </c>
      <c r="D718" s="124">
        <f ca="1">IFERROR(__xludf.DUMMYFUNCTION("""COMPUTED_VALUE"""),40)</f>
        <v>40</v>
      </c>
      <c r="E718" s="124"/>
      <c r="F718" s="112" t="str">
        <f ca="1">IFERROR(__xludf.DUMMYFUNCTION("""COMPUTED_VALUE"""),"2ГП ")</f>
        <v xml:space="preserve">2ГП </v>
      </c>
      <c r="G718" s="125">
        <f ca="1">IFERROR(__xludf.DUMMYFUNCTION("""COMPUTED_VALUE"""),0.578)</f>
        <v>0.57799999999999996</v>
      </c>
      <c r="H718" s="125"/>
      <c r="I718" s="131">
        <f ca="1">IFERROR(__xludf.DUMMYFUNCTION("""COMPUTED_VALUE"""),135000)</f>
        <v>135000</v>
      </c>
    </row>
    <row r="719" spans="2:9" ht="15.75" x14ac:dyDescent="0.25">
      <c r="B719" s="123" t="str">
        <f ca="1">IFERROR(__xludf.DUMMYFUNCTION("""COMPUTED_VALUE"""),"круг")</f>
        <v>круг</v>
      </c>
      <c r="C719" s="133" t="str">
        <f ca="1">IFERROR(__xludf.DUMMYFUNCTION("""COMPUTED_VALUE"""),"38хм")</f>
        <v>38хм</v>
      </c>
      <c r="D719" s="124">
        <f ca="1">IFERROR(__xludf.DUMMYFUNCTION("""COMPUTED_VALUE"""),45)</f>
        <v>45</v>
      </c>
      <c r="E719" s="124"/>
      <c r="F719" s="112" t="str">
        <f ca="1">IFERROR(__xludf.DUMMYFUNCTION("""COMPUTED_VALUE"""),"2ГП ")</f>
        <v xml:space="preserve">2ГП </v>
      </c>
      <c r="G719" s="125">
        <f ca="1">IFERROR(__xludf.DUMMYFUNCTION("""COMPUTED_VALUE"""),0.537)</f>
        <v>0.53700000000000003</v>
      </c>
      <c r="H719" s="125"/>
      <c r="I719" s="131">
        <f ca="1">IFERROR(__xludf.DUMMYFUNCTION("""COMPUTED_VALUE"""),135000)</f>
        <v>135000</v>
      </c>
    </row>
    <row r="720" spans="2:9" ht="15.75" x14ac:dyDescent="0.25">
      <c r="B720" s="123" t="str">
        <f ca="1">IFERROR(__xludf.DUMMYFUNCTION("""COMPUTED_VALUE"""),"круг")</f>
        <v>круг</v>
      </c>
      <c r="C720" s="133" t="str">
        <f ca="1">IFERROR(__xludf.DUMMYFUNCTION("""COMPUTED_VALUE"""),"38хм")</f>
        <v>38хм</v>
      </c>
      <c r="D720" s="124">
        <f ca="1">IFERROR(__xludf.DUMMYFUNCTION("""COMPUTED_VALUE"""),45)</f>
        <v>45</v>
      </c>
      <c r="E720" s="124"/>
      <c r="F720" s="112" t="str">
        <f ca="1">IFERROR(__xludf.DUMMYFUNCTION("""COMPUTED_VALUE"""),"ГОСТ4543/2590 2ГП ")</f>
        <v xml:space="preserve">ГОСТ4543/2590 2ГП </v>
      </c>
      <c r="G720" s="125">
        <f ca="1">IFERROR(__xludf.DUMMYFUNCTION("""COMPUTED_VALUE"""),4.87)</f>
        <v>4.87</v>
      </c>
      <c r="H720" s="125"/>
      <c r="I720" s="131">
        <f ca="1">IFERROR(__xludf.DUMMYFUNCTION("""COMPUTED_VALUE"""),120000)</f>
        <v>120000</v>
      </c>
    </row>
    <row r="721" spans="2:9" ht="15.75" x14ac:dyDescent="0.25">
      <c r="B721" s="123" t="str">
        <f ca="1">IFERROR(__xludf.DUMMYFUNCTION("""COMPUTED_VALUE"""),"круг")</f>
        <v>круг</v>
      </c>
      <c r="C721" s="133" t="str">
        <f ca="1">IFERROR(__xludf.DUMMYFUNCTION("""COMPUTED_VALUE"""),"38хм")</f>
        <v>38хм</v>
      </c>
      <c r="D721" s="124">
        <f ca="1">IFERROR(__xludf.DUMMYFUNCTION("""COMPUTED_VALUE"""),45)</f>
        <v>45</v>
      </c>
      <c r="E721" s="124"/>
      <c r="F721" s="112" t="str">
        <f ca="1">IFERROR(__xludf.DUMMYFUNCTION("""COMPUTED_VALUE"""),"2ГП ")</f>
        <v xml:space="preserve">2ГП </v>
      </c>
      <c r="G721" s="125">
        <f ca="1">IFERROR(__xludf.DUMMYFUNCTION("""COMPUTED_VALUE"""),5.83)</f>
        <v>5.83</v>
      </c>
      <c r="H721" s="125"/>
      <c r="I721" s="131">
        <f ca="1">IFERROR(__xludf.DUMMYFUNCTION("""COMPUTED_VALUE"""),120000)</f>
        <v>120000</v>
      </c>
    </row>
    <row r="722" spans="2:9" ht="15.75" x14ac:dyDescent="0.25">
      <c r="B722" s="123" t="str">
        <f ca="1">IFERROR(__xludf.DUMMYFUNCTION("""COMPUTED_VALUE"""),"круг")</f>
        <v>круг</v>
      </c>
      <c r="C722" s="133" t="str">
        <f ca="1">IFERROR(__xludf.DUMMYFUNCTION("""COMPUTED_VALUE"""),"38хм")</f>
        <v>38хм</v>
      </c>
      <c r="D722" s="124">
        <f ca="1">IFERROR(__xludf.DUMMYFUNCTION("""COMPUTED_VALUE"""),45)</f>
        <v>45</v>
      </c>
      <c r="E722" s="124"/>
      <c r="F722" s="112" t="str">
        <f ca="1">IFERROR(__xludf.DUMMYFUNCTION("""COMPUTED_VALUE"""),"2ГП ")</f>
        <v xml:space="preserve">2ГП </v>
      </c>
      <c r="G722" s="125">
        <f ca="1">IFERROR(__xludf.DUMMYFUNCTION("""COMPUTED_VALUE"""),2.67)</f>
        <v>2.67</v>
      </c>
      <c r="H722" s="125"/>
      <c r="I722" s="131">
        <f ca="1">IFERROR(__xludf.DUMMYFUNCTION("""COMPUTED_VALUE"""),120000)</f>
        <v>120000</v>
      </c>
    </row>
    <row r="723" spans="2:9" ht="15.75" x14ac:dyDescent="0.25">
      <c r="B723" s="123" t="str">
        <f ca="1">IFERROR(__xludf.DUMMYFUNCTION("""COMPUTED_VALUE"""),"круг")</f>
        <v>круг</v>
      </c>
      <c r="C723" s="133" t="str">
        <f ca="1">IFERROR(__xludf.DUMMYFUNCTION("""COMPUTED_VALUE"""),"38хм")</f>
        <v>38хм</v>
      </c>
      <c r="D723" s="124">
        <f ca="1">IFERROR(__xludf.DUMMYFUNCTION("""COMPUTED_VALUE"""),45)</f>
        <v>45</v>
      </c>
      <c r="E723" s="124"/>
      <c r="F723" s="112" t="str">
        <f ca="1">IFERROR(__xludf.DUMMYFUNCTION("""COMPUTED_VALUE"""),"2ГП ")</f>
        <v xml:space="preserve">2ГП </v>
      </c>
      <c r="G723" s="125">
        <f ca="1">IFERROR(__xludf.DUMMYFUNCTION("""COMPUTED_VALUE"""),3.68)</f>
        <v>3.68</v>
      </c>
      <c r="H723" s="125"/>
      <c r="I723" s="131">
        <f ca="1">IFERROR(__xludf.DUMMYFUNCTION("""COMPUTED_VALUE"""),120000)</f>
        <v>120000</v>
      </c>
    </row>
    <row r="724" spans="2:9" ht="15.75" x14ac:dyDescent="0.25">
      <c r="B724" s="123" t="str">
        <f ca="1">IFERROR(__xludf.DUMMYFUNCTION("""COMPUTED_VALUE"""),"круг")</f>
        <v>круг</v>
      </c>
      <c r="C724" s="133" t="str">
        <f ca="1">IFERROR(__xludf.DUMMYFUNCTION("""COMPUTED_VALUE"""),"38хм")</f>
        <v>38хм</v>
      </c>
      <c r="D724" s="124">
        <f ca="1">IFERROR(__xludf.DUMMYFUNCTION("""COMPUTED_VALUE"""),50)</f>
        <v>50</v>
      </c>
      <c r="E724" s="124"/>
      <c r="F724" s="112" t="str">
        <f ca="1">IFERROR(__xludf.DUMMYFUNCTION("""COMPUTED_VALUE"""),"2ГП ")</f>
        <v xml:space="preserve">2ГП </v>
      </c>
      <c r="G724" s="125">
        <f ca="1">IFERROR(__xludf.DUMMYFUNCTION("""COMPUTED_VALUE"""),0.805999999999999)</f>
        <v>0.80599999999999905</v>
      </c>
      <c r="H724" s="125"/>
      <c r="I724" s="131">
        <f ca="1">IFERROR(__xludf.DUMMYFUNCTION("""COMPUTED_VALUE"""),120000)</f>
        <v>120000</v>
      </c>
    </row>
    <row r="725" spans="2:9" ht="15.75" x14ac:dyDescent="0.25">
      <c r="B725" s="123" t="str">
        <f ca="1">IFERROR(__xludf.DUMMYFUNCTION("""COMPUTED_VALUE"""),"круг")</f>
        <v>круг</v>
      </c>
      <c r="C725" s="133" t="str">
        <f ca="1">IFERROR(__xludf.DUMMYFUNCTION("""COMPUTED_VALUE"""),"38хм")</f>
        <v>38хм</v>
      </c>
      <c r="D725" s="124">
        <f ca="1">IFERROR(__xludf.DUMMYFUNCTION("""COMPUTED_VALUE"""),50)</f>
        <v>50</v>
      </c>
      <c r="E725" s="124"/>
      <c r="F725" s="112" t="str">
        <f ca="1">IFERROR(__xludf.DUMMYFUNCTION("""COMPUTED_VALUE"""),"ГОСТ4543/2590 2ГП ")</f>
        <v xml:space="preserve">ГОСТ4543/2590 2ГП </v>
      </c>
      <c r="G725" s="125">
        <f ca="1">IFERROR(__xludf.DUMMYFUNCTION("""COMPUTED_VALUE"""),0.118000000000001)</f>
        <v>0.11800000000000101</v>
      </c>
      <c r="H725" s="125"/>
      <c r="I725" s="131">
        <f ca="1">IFERROR(__xludf.DUMMYFUNCTION("""COMPUTED_VALUE"""),120000)</f>
        <v>120000</v>
      </c>
    </row>
    <row r="726" spans="2:9" ht="15.75" x14ac:dyDescent="0.25">
      <c r="B726" s="123" t="str">
        <f ca="1">IFERROR(__xludf.DUMMYFUNCTION("""COMPUTED_VALUE"""),"круг")</f>
        <v>круг</v>
      </c>
      <c r="C726" s="133" t="str">
        <f ca="1">IFERROR(__xludf.DUMMYFUNCTION("""COMPUTED_VALUE"""),"38хм")</f>
        <v>38хм</v>
      </c>
      <c r="D726" s="124">
        <f ca="1">IFERROR(__xludf.DUMMYFUNCTION("""COMPUTED_VALUE"""),50)</f>
        <v>50</v>
      </c>
      <c r="E726" s="124"/>
      <c r="F726" s="112" t="str">
        <f ca="1">IFERROR(__xludf.DUMMYFUNCTION("""COMPUTED_VALUE"""),"2ГП ")</f>
        <v xml:space="preserve">2ГП </v>
      </c>
      <c r="G726" s="125">
        <f ca="1">IFERROR(__xludf.DUMMYFUNCTION("""COMPUTED_VALUE"""),1.55)</f>
        <v>1.55</v>
      </c>
      <c r="H726" s="125"/>
      <c r="I726" s="131">
        <f ca="1">IFERROR(__xludf.DUMMYFUNCTION("""COMPUTED_VALUE"""),120000)</f>
        <v>120000</v>
      </c>
    </row>
    <row r="727" spans="2:9" ht="15.75" x14ac:dyDescent="0.25">
      <c r="B727" s="123" t="str">
        <f ca="1">IFERROR(__xludf.DUMMYFUNCTION("""COMPUTED_VALUE"""),"круг")</f>
        <v>круг</v>
      </c>
      <c r="C727" s="133" t="str">
        <f ca="1">IFERROR(__xludf.DUMMYFUNCTION("""COMPUTED_VALUE"""),"38хм")</f>
        <v>38хм</v>
      </c>
      <c r="D727" s="124">
        <f ca="1">IFERROR(__xludf.DUMMYFUNCTION("""COMPUTED_VALUE"""),50)</f>
        <v>50</v>
      </c>
      <c r="E727" s="124"/>
      <c r="F727" s="112" t="str">
        <f ca="1">IFERROR(__xludf.DUMMYFUNCTION("""COMPUTED_VALUE"""),"2ГП ")</f>
        <v xml:space="preserve">2ГП </v>
      </c>
      <c r="G727" s="125">
        <f ca="1">IFERROR(__xludf.DUMMYFUNCTION("""COMPUTED_VALUE"""),3.72)</f>
        <v>3.72</v>
      </c>
      <c r="H727" s="125"/>
      <c r="I727" s="131">
        <f ca="1">IFERROR(__xludf.DUMMYFUNCTION("""COMPUTED_VALUE"""),120000)</f>
        <v>120000</v>
      </c>
    </row>
    <row r="728" spans="2:9" ht="15.75" x14ac:dyDescent="0.25">
      <c r="B728" s="123" t="str">
        <f ca="1">IFERROR(__xludf.DUMMYFUNCTION("""COMPUTED_VALUE"""),"круг")</f>
        <v>круг</v>
      </c>
      <c r="C728" s="133" t="str">
        <f ca="1">IFERROR(__xludf.DUMMYFUNCTION("""COMPUTED_VALUE"""),"38хм")</f>
        <v>38хм</v>
      </c>
      <c r="D728" s="124">
        <f ca="1">IFERROR(__xludf.DUMMYFUNCTION("""COMPUTED_VALUE"""),50)</f>
        <v>50</v>
      </c>
      <c r="E728" s="124"/>
      <c r="F728" s="112" t="str">
        <f ca="1">IFERROR(__xludf.DUMMYFUNCTION("""COMPUTED_VALUE"""),"2ГП ")</f>
        <v xml:space="preserve">2ГП </v>
      </c>
      <c r="G728" s="125">
        <f ca="1">IFERROR(__xludf.DUMMYFUNCTION("""COMPUTED_VALUE"""),4)</f>
        <v>4</v>
      </c>
      <c r="H728" s="125"/>
      <c r="I728" s="131">
        <f ca="1">IFERROR(__xludf.DUMMYFUNCTION("""COMPUTED_VALUE"""),120000)</f>
        <v>120000</v>
      </c>
    </row>
    <row r="729" spans="2:9" ht="15.75" x14ac:dyDescent="0.25">
      <c r="B729" s="123" t="str">
        <f ca="1">IFERROR(__xludf.DUMMYFUNCTION("""COMPUTED_VALUE"""),"круг")</f>
        <v>круг</v>
      </c>
      <c r="C729" s="133" t="str">
        <f ca="1">IFERROR(__xludf.DUMMYFUNCTION("""COMPUTED_VALUE"""),"38хм")</f>
        <v>38хм</v>
      </c>
      <c r="D729" s="124">
        <f ca="1">IFERROR(__xludf.DUMMYFUNCTION("""COMPUTED_VALUE"""),56)</f>
        <v>56</v>
      </c>
      <c r="E729" s="124"/>
      <c r="F729" s="112" t="str">
        <f ca="1">IFERROR(__xludf.DUMMYFUNCTION("""COMPUTED_VALUE"""),"2ГП ")</f>
        <v xml:space="preserve">2ГП </v>
      </c>
      <c r="G729" s="125">
        <f ca="1">IFERROR(__xludf.DUMMYFUNCTION("""COMPUTED_VALUE"""),1.31399999999999)</f>
        <v>1.3139999999999901</v>
      </c>
      <c r="H729" s="125"/>
      <c r="I729" s="131">
        <f ca="1">IFERROR(__xludf.DUMMYFUNCTION("""COMPUTED_VALUE"""),120000)</f>
        <v>120000</v>
      </c>
    </row>
    <row r="730" spans="2:9" ht="15.75" x14ac:dyDescent="0.25">
      <c r="B730" s="123" t="str">
        <f ca="1">IFERROR(__xludf.DUMMYFUNCTION("""COMPUTED_VALUE"""),"круг")</f>
        <v>круг</v>
      </c>
      <c r="C730" s="133" t="str">
        <f ca="1">IFERROR(__xludf.DUMMYFUNCTION("""COMPUTED_VALUE"""),"38хм")</f>
        <v>38хм</v>
      </c>
      <c r="D730" s="124">
        <f ca="1">IFERROR(__xludf.DUMMYFUNCTION("""COMPUTED_VALUE"""),56)</f>
        <v>56</v>
      </c>
      <c r="E730" s="124"/>
      <c r="F730" s="112" t="str">
        <f ca="1">IFERROR(__xludf.DUMMYFUNCTION("""COMPUTED_VALUE"""),"2ГП ")</f>
        <v xml:space="preserve">2ГП </v>
      </c>
      <c r="G730" s="125">
        <f ca="1">IFERROR(__xludf.DUMMYFUNCTION("""COMPUTED_VALUE"""),5.48)</f>
        <v>5.48</v>
      </c>
      <c r="H730" s="125"/>
      <c r="I730" s="131">
        <f ca="1">IFERROR(__xludf.DUMMYFUNCTION("""COMPUTED_VALUE"""),120000)</f>
        <v>120000</v>
      </c>
    </row>
    <row r="731" spans="2:9" ht="15.75" x14ac:dyDescent="0.25">
      <c r="B731" s="123" t="str">
        <f ca="1">IFERROR(__xludf.DUMMYFUNCTION("""COMPUTED_VALUE"""),"круг")</f>
        <v>круг</v>
      </c>
      <c r="C731" s="133" t="str">
        <f ca="1">IFERROR(__xludf.DUMMYFUNCTION("""COMPUTED_VALUE"""),"38хм")</f>
        <v>38хм</v>
      </c>
      <c r="D731" s="124">
        <f ca="1">IFERROR(__xludf.DUMMYFUNCTION("""COMPUTED_VALUE"""),60)</f>
        <v>60</v>
      </c>
      <c r="E731" s="124"/>
      <c r="F731" s="112"/>
      <c r="G731" s="125">
        <f ca="1">IFERROR(__xludf.DUMMYFUNCTION("""COMPUTED_VALUE"""),5.078)</f>
        <v>5.0780000000000003</v>
      </c>
      <c r="H731" s="125"/>
      <c r="I731" s="131">
        <f ca="1">IFERROR(__xludf.DUMMYFUNCTION("""COMPUTED_VALUE"""),120000)</f>
        <v>120000</v>
      </c>
    </row>
    <row r="732" spans="2:9" ht="15.75" x14ac:dyDescent="0.25">
      <c r="B732" s="123" t="str">
        <f ca="1">IFERROR(__xludf.DUMMYFUNCTION("""COMPUTED_VALUE"""),"круг")</f>
        <v>круг</v>
      </c>
      <c r="C732" s="133" t="str">
        <f ca="1">IFERROR(__xludf.DUMMYFUNCTION("""COMPUTED_VALUE"""),"38хм")</f>
        <v>38хм</v>
      </c>
      <c r="D732" s="124">
        <f ca="1">IFERROR(__xludf.DUMMYFUNCTION("""COMPUTED_VALUE"""),60)</f>
        <v>60</v>
      </c>
      <c r="E732" s="124"/>
      <c r="F732" s="112" t="str">
        <f ca="1">IFERROR(__xludf.DUMMYFUNCTION("""COMPUTED_VALUE"""),"2ГП ")</f>
        <v xml:space="preserve">2ГП </v>
      </c>
      <c r="G732" s="125">
        <f ca="1">IFERROR(__xludf.DUMMYFUNCTION("""COMPUTED_VALUE"""),0.00299999999999989)</f>
        <v>2.9999999999998899E-3</v>
      </c>
      <c r="H732" s="125"/>
      <c r="I732" s="131">
        <f ca="1">IFERROR(__xludf.DUMMYFUNCTION("""COMPUTED_VALUE"""),135000)</f>
        <v>135000</v>
      </c>
    </row>
    <row r="733" spans="2:9" ht="15.75" x14ac:dyDescent="0.25">
      <c r="B733" s="123" t="str">
        <f ca="1">IFERROR(__xludf.DUMMYFUNCTION("""COMPUTED_VALUE"""),"круг")</f>
        <v>круг</v>
      </c>
      <c r="C733" s="133" t="str">
        <f ca="1">IFERROR(__xludf.DUMMYFUNCTION("""COMPUTED_VALUE"""),"38хм")</f>
        <v>38хм</v>
      </c>
      <c r="D733" s="124">
        <f ca="1">IFERROR(__xludf.DUMMYFUNCTION("""COMPUTED_VALUE"""),65)</f>
        <v>65</v>
      </c>
      <c r="E733" s="124"/>
      <c r="F733" s="112" t="str">
        <f ca="1">IFERROR(__xludf.DUMMYFUNCTION("""COMPUTED_VALUE"""),"3ГП . В1,ll од 4000-5500")</f>
        <v>3ГП . В1,ll од 4000-5500</v>
      </c>
      <c r="G733" s="125">
        <f ca="1">IFERROR(__xludf.DUMMYFUNCTION("""COMPUTED_VALUE"""),4.938)</f>
        <v>4.9379999999999997</v>
      </c>
      <c r="H733" s="125"/>
      <c r="I733" s="131">
        <f ca="1">IFERROR(__xludf.DUMMYFUNCTION("""COMPUTED_VALUE"""),135000)</f>
        <v>135000</v>
      </c>
    </row>
    <row r="734" spans="2:9" ht="15.75" x14ac:dyDescent="0.25">
      <c r="B734" s="123" t="str">
        <f ca="1">IFERROR(__xludf.DUMMYFUNCTION("""COMPUTED_VALUE"""),"круг")</f>
        <v>круг</v>
      </c>
      <c r="C734" s="133" t="str">
        <f ca="1">IFERROR(__xludf.DUMMYFUNCTION("""COMPUTED_VALUE"""),"38хм")</f>
        <v>38хм</v>
      </c>
      <c r="D734" s="124">
        <f ca="1">IFERROR(__xludf.DUMMYFUNCTION("""COMPUTED_VALUE"""),70)</f>
        <v>70</v>
      </c>
      <c r="E734" s="124"/>
      <c r="F734" s="112"/>
      <c r="G734" s="125">
        <f ca="1">IFERROR(__xludf.DUMMYFUNCTION("""COMPUTED_VALUE"""),3.72)</f>
        <v>3.72</v>
      </c>
      <c r="H734" s="125"/>
      <c r="I734" s="131">
        <f ca="1">IFERROR(__xludf.DUMMYFUNCTION("""COMPUTED_VALUE"""),120000)</f>
        <v>120000</v>
      </c>
    </row>
    <row r="735" spans="2:9" ht="15.75" x14ac:dyDescent="0.25">
      <c r="B735" s="123" t="str">
        <f ca="1">IFERROR(__xludf.DUMMYFUNCTION("""COMPUTED_VALUE"""),"круг")</f>
        <v>круг</v>
      </c>
      <c r="C735" s="133" t="str">
        <f ca="1">IFERROR(__xludf.DUMMYFUNCTION("""COMPUTED_VALUE"""),"38хм")</f>
        <v>38хм</v>
      </c>
      <c r="D735" s="124">
        <f ca="1">IFERROR(__xludf.DUMMYFUNCTION("""COMPUTED_VALUE"""),70)</f>
        <v>70</v>
      </c>
      <c r="E735" s="124"/>
      <c r="F735" s="112" t="str">
        <f ca="1">IFERROR(__xludf.DUMMYFUNCTION("""COMPUTED_VALUE"""),"2ГП ")</f>
        <v xml:space="preserve">2ГП </v>
      </c>
      <c r="G735" s="125">
        <f ca="1">IFERROR(__xludf.DUMMYFUNCTION("""COMPUTED_VALUE"""),3.11)</f>
        <v>3.11</v>
      </c>
      <c r="H735" s="125"/>
      <c r="I735" s="131">
        <f ca="1">IFERROR(__xludf.DUMMYFUNCTION("""COMPUTED_VALUE"""),120000)</f>
        <v>120000</v>
      </c>
    </row>
    <row r="736" spans="2:9" ht="15.75" x14ac:dyDescent="0.25">
      <c r="B736" s="123" t="str">
        <f ca="1">IFERROR(__xludf.DUMMYFUNCTION("""COMPUTED_VALUE"""),"круг")</f>
        <v>круг</v>
      </c>
      <c r="C736" s="133" t="str">
        <f ca="1">IFERROR(__xludf.DUMMYFUNCTION("""COMPUTED_VALUE"""),"38хм")</f>
        <v>38хм</v>
      </c>
      <c r="D736" s="124">
        <f ca="1">IFERROR(__xludf.DUMMYFUNCTION("""COMPUTED_VALUE"""),75)</f>
        <v>75</v>
      </c>
      <c r="E736" s="124"/>
      <c r="F736" s="112"/>
      <c r="G736" s="125">
        <f ca="1">IFERROR(__xludf.DUMMYFUNCTION("""COMPUTED_VALUE"""),3.89)</f>
        <v>3.89</v>
      </c>
      <c r="H736" s="125"/>
      <c r="I736" s="131">
        <f ca="1">IFERROR(__xludf.DUMMYFUNCTION("""COMPUTED_VALUE"""),120000)</f>
        <v>120000</v>
      </c>
    </row>
    <row r="737" spans="2:9" ht="15.75" x14ac:dyDescent="0.25">
      <c r="B737" s="123" t="str">
        <f ca="1">IFERROR(__xludf.DUMMYFUNCTION("""COMPUTED_VALUE"""),"круг")</f>
        <v>круг</v>
      </c>
      <c r="C737" s="133" t="str">
        <f ca="1">IFERROR(__xludf.DUMMYFUNCTION("""COMPUTED_VALUE"""),"38хм")</f>
        <v>38хм</v>
      </c>
      <c r="D737" s="124">
        <f ca="1">IFERROR(__xludf.DUMMYFUNCTION("""COMPUTED_VALUE"""),80)</f>
        <v>80</v>
      </c>
      <c r="E737" s="124"/>
      <c r="F737" s="112" t="str">
        <f ca="1">IFERROR(__xludf.DUMMYFUNCTION("""COMPUTED_VALUE"""),"2ГП ")</f>
        <v xml:space="preserve">2ГП </v>
      </c>
      <c r="G737" s="125">
        <f ca="1">IFERROR(__xludf.DUMMYFUNCTION("""COMPUTED_VALUE"""),0.293)</f>
        <v>0.29299999999999998</v>
      </c>
      <c r="H737" s="125"/>
      <c r="I737" s="131">
        <f ca="1">IFERROR(__xludf.DUMMYFUNCTION("""COMPUTED_VALUE"""),140000)</f>
        <v>140000</v>
      </c>
    </row>
    <row r="738" spans="2:9" ht="15.75" x14ac:dyDescent="0.25">
      <c r="B738" s="123" t="str">
        <f ca="1">IFERROR(__xludf.DUMMYFUNCTION("""COMPUTED_VALUE"""),"круг")</f>
        <v>круг</v>
      </c>
      <c r="C738" s="133" t="str">
        <f ca="1">IFERROR(__xludf.DUMMYFUNCTION("""COMPUTED_VALUE"""),"38хм")</f>
        <v>38хм</v>
      </c>
      <c r="D738" s="124">
        <f ca="1">IFERROR(__xludf.DUMMYFUNCTION("""COMPUTED_VALUE"""),80)</f>
        <v>80</v>
      </c>
      <c r="E738" s="124"/>
      <c r="F738" s="112" t="str">
        <f ca="1">IFERROR(__xludf.DUMMYFUNCTION("""COMPUTED_VALUE"""),"2ГП ")</f>
        <v xml:space="preserve">2ГП </v>
      </c>
      <c r="G738" s="125">
        <f ca="1">IFERROR(__xludf.DUMMYFUNCTION("""COMPUTED_VALUE"""),3.604)</f>
        <v>3.6040000000000001</v>
      </c>
      <c r="H738" s="125"/>
      <c r="I738" s="131">
        <f ca="1">IFERROR(__xludf.DUMMYFUNCTION("""COMPUTED_VALUE"""),140000)</f>
        <v>140000</v>
      </c>
    </row>
    <row r="739" spans="2:9" ht="15.75" x14ac:dyDescent="0.25">
      <c r="B739" s="123" t="str">
        <f ca="1">IFERROR(__xludf.DUMMYFUNCTION("""COMPUTED_VALUE"""),"круг")</f>
        <v>круг</v>
      </c>
      <c r="C739" s="133" t="str">
        <f ca="1">IFERROR(__xludf.DUMMYFUNCTION("""COMPUTED_VALUE"""),"38хм")</f>
        <v>38хм</v>
      </c>
      <c r="D739" s="124">
        <f ca="1">IFERROR(__xludf.DUMMYFUNCTION("""COMPUTED_VALUE"""),80)</f>
        <v>80</v>
      </c>
      <c r="E739" s="124"/>
      <c r="F739" s="112" t="str">
        <f ca="1">IFERROR(__xludf.DUMMYFUNCTION("""COMPUTED_VALUE"""),"3ГП . В1,ll од 4000-5500")</f>
        <v>3ГП . В1,ll од 4000-5500</v>
      </c>
      <c r="G739" s="125">
        <f ca="1">IFERROR(__xludf.DUMMYFUNCTION("""COMPUTED_VALUE"""),4.951)</f>
        <v>4.9509999999999996</v>
      </c>
      <c r="H739" s="125"/>
      <c r="I739" s="131">
        <f ca="1">IFERROR(__xludf.DUMMYFUNCTION("""COMPUTED_VALUE"""),135000)</f>
        <v>135000</v>
      </c>
    </row>
    <row r="740" spans="2:9" ht="15.75" x14ac:dyDescent="0.25">
      <c r="B740" s="123" t="str">
        <f ca="1">IFERROR(__xludf.DUMMYFUNCTION("""COMPUTED_VALUE"""),"круг")</f>
        <v>круг</v>
      </c>
      <c r="C740" s="133" t="str">
        <f ca="1">IFERROR(__xludf.DUMMYFUNCTION("""COMPUTED_VALUE"""),"38хм")</f>
        <v>38хм</v>
      </c>
      <c r="D740" s="124">
        <f ca="1">IFERROR(__xludf.DUMMYFUNCTION("""COMPUTED_VALUE"""),85)</f>
        <v>85</v>
      </c>
      <c r="E740" s="124"/>
      <c r="F740" s="112"/>
      <c r="G740" s="125">
        <f ca="1">IFERROR(__xludf.DUMMYFUNCTION("""COMPUTED_VALUE"""),0.049)</f>
        <v>4.9000000000000002E-2</v>
      </c>
      <c r="H740" s="125"/>
      <c r="I740" s="131">
        <f ca="1">IFERROR(__xludf.DUMMYFUNCTION("""COMPUTED_VALUE"""),135000)</f>
        <v>135000</v>
      </c>
    </row>
    <row r="741" spans="2:9" ht="15.75" x14ac:dyDescent="0.25">
      <c r="B741" s="123" t="str">
        <f ca="1">IFERROR(__xludf.DUMMYFUNCTION("""COMPUTED_VALUE"""),"круг")</f>
        <v>круг</v>
      </c>
      <c r="C741" s="133" t="str">
        <f ca="1">IFERROR(__xludf.DUMMYFUNCTION("""COMPUTED_VALUE"""),"38хм")</f>
        <v>38хм</v>
      </c>
      <c r="D741" s="124">
        <f ca="1">IFERROR(__xludf.DUMMYFUNCTION("""COMPUTED_VALUE"""),85)</f>
        <v>85</v>
      </c>
      <c r="E741" s="124"/>
      <c r="F741" s="112" t="str">
        <f ca="1">IFERROR(__xludf.DUMMYFUNCTION("""COMPUTED_VALUE"""),"2ГП ")</f>
        <v xml:space="preserve">2ГП </v>
      </c>
      <c r="G741" s="125">
        <f ca="1">IFERROR(__xludf.DUMMYFUNCTION("""COMPUTED_VALUE"""),1.19)</f>
        <v>1.19</v>
      </c>
      <c r="H741" s="125"/>
      <c r="I741" s="131">
        <f ca="1">IFERROR(__xludf.DUMMYFUNCTION("""COMPUTED_VALUE"""),135000)</f>
        <v>135000</v>
      </c>
    </row>
    <row r="742" spans="2:9" ht="15.75" x14ac:dyDescent="0.25">
      <c r="B742" s="123" t="str">
        <f ca="1">IFERROR(__xludf.DUMMYFUNCTION("""COMPUTED_VALUE"""),"круг")</f>
        <v>круг</v>
      </c>
      <c r="C742" s="133" t="str">
        <f ca="1">IFERROR(__xludf.DUMMYFUNCTION("""COMPUTED_VALUE"""),"38хм")</f>
        <v>38хм</v>
      </c>
      <c r="D742" s="124">
        <f ca="1">IFERROR(__xludf.DUMMYFUNCTION("""COMPUTED_VALUE"""),85)</f>
        <v>85</v>
      </c>
      <c r="E742" s="124"/>
      <c r="F742" s="112" t="str">
        <f ca="1">IFERROR(__xludf.DUMMYFUNCTION("""COMPUTED_VALUE"""),"3ГП . В1,ll од 4000-5500")</f>
        <v>3ГП . В1,ll од 4000-5500</v>
      </c>
      <c r="G742" s="125">
        <f ca="1">IFERROR(__xludf.DUMMYFUNCTION("""COMPUTED_VALUE"""),5.06)</f>
        <v>5.0599999999999996</v>
      </c>
      <c r="H742" s="125"/>
      <c r="I742" s="131">
        <f ca="1">IFERROR(__xludf.DUMMYFUNCTION("""COMPUTED_VALUE"""),135000)</f>
        <v>135000</v>
      </c>
    </row>
    <row r="743" spans="2:9" ht="15.75" x14ac:dyDescent="0.25">
      <c r="B743" s="123" t="str">
        <f ca="1">IFERROR(__xludf.DUMMYFUNCTION("""COMPUTED_VALUE"""),"круг")</f>
        <v>круг</v>
      </c>
      <c r="C743" s="133" t="str">
        <f ca="1">IFERROR(__xludf.DUMMYFUNCTION("""COMPUTED_VALUE"""),"38хм")</f>
        <v>38хм</v>
      </c>
      <c r="D743" s="124">
        <f ca="1">IFERROR(__xludf.DUMMYFUNCTION("""COMPUTED_VALUE"""),85)</f>
        <v>85</v>
      </c>
      <c r="E743" s="124"/>
      <c r="F743" s="112" t="str">
        <f ca="1">IFERROR(__xludf.DUMMYFUNCTION("""COMPUTED_VALUE"""),"3ГП . В1,ll од 4000-5500")</f>
        <v>3ГП . В1,ll од 4000-5500</v>
      </c>
      <c r="G743" s="125">
        <f ca="1">IFERROR(__xludf.DUMMYFUNCTION("""COMPUTED_VALUE"""),0.469)</f>
        <v>0.46899999999999997</v>
      </c>
      <c r="H743" s="125"/>
      <c r="I743" s="131">
        <f ca="1">IFERROR(__xludf.DUMMYFUNCTION("""COMPUTED_VALUE"""),135000)</f>
        <v>135000</v>
      </c>
    </row>
    <row r="744" spans="2:9" ht="15.75" x14ac:dyDescent="0.25">
      <c r="B744" s="123" t="str">
        <f ca="1">IFERROR(__xludf.DUMMYFUNCTION("""COMPUTED_VALUE"""),"круг")</f>
        <v>круг</v>
      </c>
      <c r="C744" s="133" t="str">
        <f ca="1">IFERROR(__xludf.DUMMYFUNCTION("""COMPUTED_VALUE"""),"38хм")</f>
        <v>38хм</v>
      </c>
      <c r="D744" s="124">
        <f ca="1">IFERROR(__xludf.DUMMYFUNCTION("""COMPUTED_VALUE"""),90)</f>
        <v>90</v>
      </c>
      <c r="E744" s="124"/>
      <c r="F744" s="112" t="str">
        <f ca="1">IFERROR(__xludf.DUMMYFUNCTION("""COMPUTED_VALUE"""),"3ГП . В1,ll од 4000-5500")</f>
        <v>3ГП . В1,ll од 4000-5500</v>
      </c>
      <c r="G744" s="125">
        <f ca="1">IFERROR(__xludf.DUMMYFUNCTION("""COMPUTED_VALUE"""),1.323)</f>
        <v>1.323</v>
      </c>
      <c r="H744" s="125"/>
      <c r="I744" s="131">
        <f ca="1">IFERROR(__xludf.DUMMYFUNCTION("""COMPUTED_VALUE"""),135000)</f>
        <v>135000</v>
      </c>
    </row>
    <row r="745" spans="2:9" ht="15.75" x14ac:dyDescent="0.25">
      <c r="B745" s="123" t="str">
        <f ca="1">IFERROR(__xludf.DUMMYFUNCTION("""COMPUTED_VALUE"""),"круг")</f>
        <v>круг</v>
      </c>
      <c r="C745" s="133" t="str">
        <f ca="1">IFERROR(__xludf.DUMMYFUNCTION("""COMPUTED_VALUE"""),"38хм")</f>
        <v>38хм</v>
      </c>
      <c r="D745" s="124">
        <f ca="1">IFERROR(__xludf.DUMMYFUNCTION("""COMPUTED_VALUE"""),90)</f>
        <v>90</v>
      </c>
      <c r="E745" s="124"/>
      <c r="F745" s="112" t="str">
        <f ca="1">IFERROR(__xludf.DUMMYFUNCTION("""COMPUTED_VALUE"""),"3ГП . В1,ll од 4000-5500")</f>
        <v>3ГП . В1,ll од 4000-5500</v>
      </c>
      <c r="G745" s="125">
        <f ca="1">IFERROR(__xludf.DUMMYFUNCTION("""COMPUTED_VALUE"""),4.144)</f>
        <v>4.1440000000000001</v>
      </c>
      <c r="H745" s="125"/>
      <c r="I745" s="131">
        <f ca="1">IFERROR(__xludf.DUMMYFUNCTION("""COMPUTED_VALUE"""),135000)</f>
        <v>135000</v>
      </c>
    </row>
    <row r="746" spans="2:9" ht="15.75" x14ac:dyDescent="0.25">
      <c r="B746" s="123" t="str">
        <f ca="1">IFERROR(__xludf.DUMMYFUNCTION("""COMPUTED_VALUE"""),"круг")</f>
        <v>круг</v>
      </c>
      <c r="C746" s="133" t="str">
        <f ca="1">IFERROR(__xludf.DUMMYFUNCTION("""COMPUTED_VALUE"""),"38хм")</f>
        <v>38хм</v>
      </c>
      <c r="D746" s="124">
        <f ca="1">IFERROR(__xludf.DUMMYFUNCTION("""COMPUTED_VALUE"""),95)</f>
        <v>95</v>
      </c>
      <c r="E746" s="124"/>
      <c r="F746" s="112" t="str">
        <f ca="1">IFERROR(__xludf.DUMMYFUNCTION("""COMPUTED_VALUE"""),"2ГП ")</f>
        <v xml:space="preserve">2ГП </v>
      </c>
      <c r="G746" s="125">
        <f ca="1">IFERROR(__xludf.DUMMYFUNCTION("""COMPUTED_VALUE"""),2.97)</f>
        <v>2.97</v>
      </c>
      <c r="H746" s="125"/>
      <c r="I746" s="131">
        <f ca="1">IFERROR(__xludf.DUMMYFUNCTION("""COMPUTED_VALUE"""),135000)</f>
        <v>135000</v>
      </c>
    </row>
    <row r="747" spans="2:9" ht="15.75" x14ac:dyDescent="0.25">
      <c r="B747" s="123" t="str">
        <f ca="1">IFERROR(__xludf.DUMMYFUNCTION("""COMPUTED_VALUE"""),"круг")</f>
        <v>круг</v>
      </c>
      <c r="C747" s="133" t="str">
        <f ca="1">IFERROR(__xludf.DUMMYFUNCTION("""COMPUTED_VALUE"""),"38хм")</f>
        <v>38хм</v>
      </c>
      <c r="D747" s="124">
        <f ca="1">IFERROR(__xludf.DUMMYFUNCTION("""COMPUTED_VALUE"""),100)</f>
        <v>100</v>
      </c>
      <c r="E747" s="124"/>
      <c r="F747" s="112" t="str">
        <f ca="1">IFERROR(__xludf.DUMMYFUNCTION("""COMPUTED_VALUE"""),"3ГП . В1,ll од 4000-5500")</f>
        <v>3ГП . В1,ll од 4000-5500</v>
      </c>
      <c r="G747" s="125">
        <f ca="1">IFERROR(__xludf.DUMMYFUNCTION("""COMPUTED_VALUE"""),0.559)</f>
        <v>0.55900000000000005</v>
      </c>
      <c r="H747" s="125"/>
      <c r="I747" s="131">
        <f ca="1">IFERROR(__xludf.DUMMYFUNCTION("""COMPUTED_VALUE"""),135000)</f>
        <v>135000</v>
      </c>
    </row>
    <row r="748" spans="2:9" ht="15.75" x14ac:dyDescent="0.25">
      <c r="B748" s="123" t="str">
        <f ca="1">IFERROR(__xludf.DUMMYFUNCTION("""COMPUTED_VALUE"""),"круг")</f>
        <v>круг</v>
      </c>
      <c r="C748" s="133" t="str">
        <f ca="1">IFERROR(__xludf.DUMMYFUNCTION("""COMPUTED_VALUE"""),"38хм")</f>
        <v>38хм</v>
      </c>
      <c r="D748" s="124">
        <f ca="1">IFERROR(__xludf.DUMMYFUNCTION("""COMPUTED_VALUE"""),100)</f>
        <v>100</v>
      </c>
      <c r="E748" s="124"/>
      <c r="F748" s="112" t="str">
        <f ca="1">IFERROR(__xludf.DUMMYFUNCTION("""COMPUTED_VALUE"""),"3ГП . В1,ll од 4000-5500")</f>
        <v>3ГП . В1,ll од 4000-5500</v>
      </c>
      <c r="G748" s="125">
        <f ca="1">IFERROR(__xludf.DUMMYFUNCTION("""COMPUTED_VALUE"""),4.691)</f>
        <v>4.6909999999999998</v>
      </c>
      <c r="H748" s="125"/>
      <c r="I748" s="131">
        <f ca="1">IFERROR(__xludf.DUMMYFUNCTION("""COMPUTED_VALUE"""),135000)</f>
        <v>135000</v>
      </c>
    </row>
    <row r="749" spans="2:9" ht="15.75" x14ac:dyDescent="0.25">
      <c r="B749" s="123" t="str">
        <f ca="1">IFERROR(__xludf.DUMMYFUNCTION("""COMPUTED_VALUE"""),"круг")</f>
        <v>круг</v>
      </c>
      <c r="C749" s="133" t="str">
        <f ca="1">IFERROR(__xludf.DUMMYFUNCTION("""COMPUTED_VALUE"""),"38хм")</f>
        <v>38хм</v>
      </c>
      <c r="D749" s="124">
        <f ca="1">IFERROR(__xludf.DUMMYFUNCTION("""COMPUTED_VALUE"""),100)</f>
        <v>100</v>
      </c>
      <c r="E749" s="124"/>
      <c r="F749" s="112" t="str">
        <f ca="1">IFERROR(__xludf.DUMMYFUNCTION("""COMPUTED_VALUE"""),"3ГП . В1,ll од 4000-5500")</f>
        <v>3ГП . В1,ll од 4000-5500</v>
      </c>
      <c r="G749" s="125">
        <f ca="1">IFERROR(__xludf.DUMMYFUNCTION("""COMPUTED_VALUE"""),0.921)</f>
        <v>0.92100000000000004</v>
      </c>
      <c r="H749" s="125"/>
      <c r="I749" s="131">
        <f ca="1">IFERROR(__xludf.DUMMYFUNCTION("""COMPUTED_VALUE"""),135000)</f>
        <v>135000</v>
      </c>
    </row>
    <row r="750" spans="2:9" ht="15.75" x14ac:dyDescent="0.25">
      <c r="B750" s="123" t="str">
        <f ca="1">IFERROR(__xludf.DUMMYFUNCTION("""COMPUTED_VALUE"""),"круг")</f>
        <v>круг</v>
      </c>
      <c r="C750" s="133" t="str">
        <f ca="1">IFERROR(__xludf.DUMMYFUNCTION("""COMPUTED_VALUE"""),"38хм")</f>
        <v>38хм</v>
      </c>
      <c r="D750" s="124">
        <f ca="1">IFERROR(__xludf.DUMMYFUNCTION("""COMPUTED_VALUE"""),100)</f>
        <v>100</v>
      </c>
      <c r="E750" s="124"/>
      <c r="F750" s="112" t="str">
        <f ca="1">IFERROR(__xludf.DUMMYFUNCTION("""COMPUTED_VALUE"""),"3ГП . В1,ll од 4000-5500")</f>
        <v>3ГП . В1,ll од 4000-5500</v>
      </c>
      <c r="G750" s="125">
        <f ca="1">IFERROR(__xludf.DUMMYFUNCTION("""COMPUTED_VALUE"""),0.636)</f>
        <v>0.63600000000000001</v>
      </c>
      <c r="H750" s="125"/>
      <c r="I750" s="131">
        <f ca="1">IFERROR(__xludf.DUMMYFUNCTION("""COMPUTED_VALUE"""),135000)</f>
        <v>135000</v>
      </c>
    </row>
    <row r="751" spans="2:9" ht="15.75" x14ac:dyDescent="0.25">
      <c r="B751" s="123" t="str">
        <f ca="1">IFERROR(__xludf.DUMMYFUNCTION("""COMPUTED_VALUE"""),"круг")</f>
        <v>круг</v>
      </c>
      <c r="C751" s="133" t="str">
        <f ca="1">IFERROR(__xludf.DUMMYFUNCTION("""COMPUTED_VALUE"""),"38хм")</f>
        <v>38хм</v>
      </c>
      <c r="D751" s="124">
        <f ca="1">IFERROR(__xludf.DUMMYFUNCTION("""COMPUTED_VALUE"""),100)</f>
        <v>100</v>
      </c>
      <c r="E751" s="124"/>
      <c r="F751" s="112" t="str">
        <f ca="1">IFERROR(__xludf.DUMMYFUNCTION("""COMPUTED_VALUE"""),"Остаток проверь перед выставлением")</f>
        <v>Остаток проверь перед выставлением</v>
      </c>
      <c r="G751" s="125">
        <f ca="1">IFERROR(__xludf.DUMMYFUNCTION("""COMPUTED_VALUE"""),0.110999999999999)</f>
        <v>0.110999999999999</v>
      </c>
      <c r="H751" s="125"/>
      <c r="I751" s="131">
        <f ca="1">IFERROR(__xludf.DUMMYFUNCTION("""COMPUTED_VALUE"""),140000)</f>
        <v>140000</v>
      </c>
    </row>
    <row r="752" spans="2:9" ht="15.75" x14ac:dyDescent="0.25">
      <c r="B752" s="123" t="str">
        <f ca="1">IFERROR(__xludf.DUMMYFUNCTION("""COMPUTED_VALUE"""),"круг")</f>
        <v>круг</v>
      </c>
      <c r="C752" s="133" t="str">
        <f ca="1">IFERROR(__xludf.DUMMYFUNCTION("""COMPUTED_VALUE"""),"38хм")</f>
        <v>38хм</v>
      </c>
      <c r="D752" s="124">
        <f ca="1">IFERROR(__xludf.DUMMYFUNCTION("""COMPUTED_VALUE"""),105)</f>
        <v>105</v>
      </c>
      <c r="E752" s="124"/>
      <c r="F752" s="112" t="str">
        <f ca="1">IFERROR(__xludf.DUMMYFUNCTION("""COMPUTED_VALUE"""),"3ГП, НМВ")</f>
        <v>3ГП, НМВ</v>
      </c>
      <c r="G752" s="125">
        <f ca="1">IFERROR(__xludf.DUMMYFUNCTION("""COMPUTED_VALUE"""),0.107999999999999)</f>
        <v>0.107999999999999</v>
      </c>
      <c r="H752" s="125"/>
      <c r="I752" s="131">
        <f ca="1">IFERROR(__xludf.DUMMYFUNCTION("""COMPUTED_VALUE"""),130000)</f>
        <v>130000</v>
      </c>
    </row>
    <row r="753" spans="2:9" ht="15.75" x14ac:dyDescent="0.25">
      <c r="B753" s="123" t="str">
        <f ca="1">IFERROR(__xludf.DUMMYFUNCTION("""COMPUTED_VALUE"""),"круг")</f>
        <v>круг</v>
      </c>
      <c r="C753" s="133" t="str">
        <f ca="1">IFERROR(__xludf.DUMMYFUNCTION("""COMPUTED_VALUE"""),"38хм")</f>
        <v>38хм</v>
      </c>
      <c r="D753" s="124">
        <f ca="1">IFERROR(__xludf.DUMMYFUNCTION("""COMPUTED_VALUE"""),105)</f>
        <v>105</v>
      </c>
      <c r="E753" s="124"/>
      <c r="F753" s="112" t="str">
        <f ca="1">IFERROR(__xludf.DUMMYFUNCTION("""COMPUTED_VALUE"""),"3ГП . В1,ll од 4000-5500")</f>
        <v>3ГП . В1,ll од 4000-5500</v>
      </c>
      <c r="G753" s="125">
        <f ca="1">IFERROR(__xludf.DUMMYFUNCTION("""COMPUTED_VALUE"""),1.232)</f>
        <v>1.232</v>
      </c>
      <c r="H753" s="125"/>
      <c r="I753" s="131">
        <f ca="1">IFERROR(__xludf.DUMMYFUNCTION("""COMPUTED_VALUE"""),135000)</f>
        <v>135000</v>
      </c>
    </row>
    <row r="754" spans="2:9" ht="15.75" x14ac:dyDescent="0.25">
      <c r="B754" s="123" t="str">
        <f ca="1">IFERROR(__xludf.DUMMYFUNCTION("""COMPUTED_VALUE"""),"круг")</f>
        <v>круг</v>
      </c>
      <c r="C754" s="133" t="str">
        <f ca="1">IFERROR(__xludf.DUMMYFUNCTION("""COMPUTED_VALUE"""),"38хм")</f>
        <v>38хм</v>
      </c>
      <c r="D754" s="124">
        <f ca="1">IFERROR(__xludf.DUMMYFUNCTION("""COMPUTED_VALUE"""),105)</f>
        <v>105</v>
      </c>
      <c r="E754" s="124"/>
      <c r="F754" s="112" t="str">
        <f ca="1">IFERROR(__xludf.DUMMYFUNCTION("""COMPUTED_VALUE"""),"3ГП . В1,ll од 4000-5500")</f>
        <v>3ГП . В1,ll од 4000-5500</v>
      </c>
      <c r="G754" s="125">
        <f ca="1">IFERROR(__xludf.DUMMYFUNCTION("""COMPUTED_VALUE"""),4.412)</f>
        <v>4.4119999999999999</v>
      </c>
      <c r="H754" s="125"/>
      <c r="I754" s="131">
        <f ca="1">IFERROR(__xludf.DUMMYFUNCTION("""COMPUTED_VALUE"""),135000)</f>
        <v>135000</v>
      </c>
    </row>
    <row r="755" spans="2:9" ht="15.75" x14ac:dyDescent="0.25">
      <c r="B755" s="123" t="str">
        <f ca="1">IFERROR(__xludf.DUMMYFUNCTION("""COMPUTED_VALUE"""),"круг")</f>
        <v>круг</v>
      </c>
      <c r="C755" s="133" t="str">
        <f ca="1">IFERROR(__xludf.DUMMYFUNCTION("""COMPUTED_VALUE"""),"38хм")</f>
        <v>38хм</v>
      </c>
      <c r="D755" s="124">
        <f ca="1">IFERROR(__xludf.DUMMYFUNCTION("""COMPUTED_VALUE"""),110)</f>
        <v>110</v>
      </c>
      <c r="E755" s="124"/>
      <c r="F755" s="112" t="str">
        <f ca="1">IFERROR(__xludf.DUMMYFUNCTION("""COMPUTED_VALUE"""),"3ГП, НМВ")</f>
        <v>3ГП, НМВ</v>
      </c>
      <c r="G755" s="125">
        <f ca="1">IFERROR(__xludf.DUMMYFUNCTION("""COMPUTED_VALUE"""),0.044)</f>
        <v>4.3999999999999997E-2</v>
      </c>
      <c r="H755" s="125"/>
      <c r="I755" s="131">
        <f ca="1">IFERROR(__xludf.DUMMYFUNCTION("""COMPUTED_VALUE"""),130000)</f>
        <v>130000</v>
      </c>
    </row>
    <row r="756" spans="2:9" ht="15.75" x14ac:dyDescent="0.25">
      <c r="B756" s="123" t="str">
        <f ca="1">IFERROR(__xludf.DUMMYFUNCTION("""COMPUTED_VALUE"""),"круг")</f>
        <v>круг</v>
      </c>
      <c r="C756" s="133" t="str">
        <f ca="1">IFERROR(__xludf.DUMMYFUNCTION("""COMPUTED_VALUE"""),"38хм")</f>
        <v>38хм</v>
      </c>
      <c r="D756" s="124">
        <f ca="1">IFERROR(__xludf.DUMMYFUNCTION("""COMPUTED_VALUE"""),110)</f>
        <v>110</v>
      </c>
      <c r="E756" s="124"/>
      <c r="F756" s="112" t="str">
        <f ca="1">IFERROR(__xludf.DUMMYFUNCTION("""COMPUTED_VALUE"""),"2ГП ")</f>
        <v xml:space="preserve">2ГП </v>
      </c>
      <c r="G756" s="125">
        <f ca="1">IFERROR(__xludf.DUMMYFUNCTION("""COMPUTED_VALUE"""),0.375)</f>
        <v>0.375</v>
      </c>
      <c r="H756" s="125"/>
      <c r="I756" s="131">
        <f ca="1">IFERROR(__xludf.DUMMYFUNCTION("""COMPUTED_VALUE"""),130000)</f>
        <v>130000</v>
      </c>
    </row>
    <row r="757" spans="2:9" ht="15.75" x14ac:dyDescent="0.25">
      <c r="B757" s="123" t="str">
        <f ca="1">IFERROR(__xludf.DUMMYFUNCTION("""COMPUTED_VALUE"""),"круг")</f>
        <v>круг</v>
      </c>
      <c r="C757" s="133" t="str">
        <f ca="1">IFERROR(__xludf.DUMMYFUNCTION("""COMPUTED_VALUE"""),"38хм")</f>
        <v>38хм</v>
      </c>
      <c r="D757" s="124">
        <f ca="1">IFERROR(__xludf.DUMMYFUNCTION("""COMPUTED_VALUE"""),110)</f>
        <v>110</v>
      </c>
      <c r="E757" s="124"/>
      <c r="F757" s="112" t="str">
        <f ca="1">IFERROR(__xludf.DUMMYFUNCTION("""COMPUTED_VALUE"""),"2ГП ")</f>
        <v xml:space="preserve">2ГП </v>
      </c>
      <c r="G757" s="125">
        <f ca="1">IFERROR(__xludf.DUMMYFUNCTION("""COMPUTED_VALUE"""),3.381)</f>
        <v>3.3809999999999998</v>
      </c>
      <c r="H757" s="125"/>
      <c r="I757" s="131">
        <f ca="1">IFERROR(__xludf.DUMMYFUNCTION("""COMPUTED_VALUE"""),130000)</f>
        <v>130000</v>
      </c>
    </row>
    <row r="758" spans="2:9" ht="15.75" x14ac:dyDescent="0.25">
      <c r="B758" s="123" t="str">
        <f ca="1">IFERROR(__xludf.DUMMYFUNCTION("""COMPUTED_VALUE"""),"круг")</f>
        <v>круг</v>
      </c>
      <c r="C758" s="133" t="str">
        <f ca="1">IFERROR(__xludf.DUMMYFUNCTION("""COMPUTED_VALUE"""),"38хм")</f>
        <v>38хм</v>
      </c>
      <c r="D758" s="124">
        <f ca="1">IFERROR(__xludf.DUMMYFUNCTION("""COMPUTED_VALUE"""),110)</f>
        <v>110</v>
      </c>
      <c r="E758" s="124"/>
      <c r="F758" s="112" t="str">
        <f ca="1">IFERROR(__xludf.DUMMYFUNCTION("""COMPUTED_VALUE"""),"2ГП ")</f>
        <v xml:space="preserve">2ГП </v>
      </c>
      <c r="G758" s="125">
        <f ca="1">IFERROR(__xludf.DUMMYFUNCTION("""COMPUTED_VALUE"""),1.8)</f>
        <v>1.8</v>
      </c>
      <c r="H758" s="125"/>
      <c r="I758" s="131">
        <f ca="1">IFERROR(__xludf.DUMMYFUNCTION("""COMPUTED_VALUE"""),138000)</f>
        <v>138000</v>
      </c>
    </row>
    <row r="759" spans="2:9" ht="15.75" x14ac:dyDescent="0.25">
      <c r="B759" s="123" t="str">
        <f ca="1">IFERROR(__xludf.DUMMYFUNCTION("""COMPUTED_VALUE"""),"круг")</f>
        <v>круг</v>
      </c>
      <c r="C759" s="133" t="str">
        <f ca="1">IFERROR(__xludf.DUMMYFUNCTION("""COMPUTED_VALUE"""),"38хм")</f>
        <v>38хм</v>
      </c>
      <c r="D759" s="124">
        <f ca="1">IFERROR(__xludf.DUMMYFUNCTION("""COMPUTED_VALUE"""),115)</f>
        <v>115</v>
      </c>
      <c r="E759" s="124"/>
      <c r="F759" s="112" t="str">
        <f ca="1">IFERROR(__xludf.DUMMYFUNCTION("""COMPUTED_VALUE"""),"2ГП ")</f>
        <v xml:space="preserve">2ГП </v>
      </c>
      <c r="G759" s="125">
        <f ca="1">IFERROR(__xludf.DUMMYFUNCTION("""COMPUTED_VALUE"""),4.524)</f>
        <v>4.524</v>
      </c>
      <c r="H759" s="125"/>
      <c r="I759" s="131">
        <f ca="1">IFERROR(__xludf.DUMMYFUNCTION("""COMPUTED_VALUE"""),130000)</f>
        <v>130000</v>
      </c>
    </row>
    <row r="760" spans="2:9" ht="15.75" x14ac:dyDescent="0.25">
      <c r="B760" s="123" t="str">
        <f ca="1">IFERROR(__xludf.DUMMYFUNCTION("""COMPUTED_VALUE"""),"круг")</f>
        <v>круг</v>
      </c>
      <c r="C760" s="133" t="str">
        <f ca="1">IFERROR(__xludf.DUMMYFUNCTION("""COMPUTED_VALUE"""),"38хм")</f>
        <v>38хм</v>
      </c>
      <c r="D760" s="124">
        <f ca="1">IFERROR(__xludf.DUMMYFUNCTION("""COMPUTED_VALUE"""),115)</f>
        <v>115</v>
      </c>
      <c r="E760" s="124"/>
      <c r="F760" s="112" t="str">
        <f ca="1">IFERROR(__xludf.DUMMYFUNCTION("""COMPUTED_VALUE"""),"2ГП отжиг")</f>
        <v>2ГП отжиг</v>
      </c>
      <c r="G760" s="125">
        <f ca="1">IFERROR(__xludf.DUMMYFUNCTION("""COMPUTED_VALUE"""),3.26)</f>
        <v>3.26</v>
      </c>
      <c r="H760" s="125"/>
      <c r="I760" s="131">
        <f ca="1">IFERROR(__xludf.DUMMYFUNCTION("""COMPUTED_VALUE"""),140000)</f>
        <v>140000</v>
      </c>
    </row>
    <row r="761" spans="2:9" ht="15.75" x14ac:dyDescent="0.25">
      <c r="B761" s="123" t="str">
        <f ca="1">IFERROR(__xludf.DUMMYFUNCTION("""COMPUTED_VALUE"""),"круг")</f>
        <v>круг</v>
      </c>
      <c r="C761" s="133" t="str">
        <f ca="1">IFERROR(__xludf.DUMMYFUNCTION("""COMPUTED_VALUE"""),"38хм")</f>
        <v>38хм</v>
      </c>
      <c r="D761" s="124">
        <f ca="1">IFERROR(__xludf.DUMMYFUNCTION("""COMPUTED_VALUE"""),115)</f>
        <v>115</v>
      </c>
      <c r="E761" s="124"/>
      <c r="F761" s="112" t="str">
        <f ca="1">IFERROR(__xludf.DUMMYFUNCTION("""COMPUTED_VALUE"""),"2ГП отжиг")</f>
        <v>2ГП отжиг</v>
      </c>
      <c r="G761" s="125">
        <f ca="1">IFERROR(__xludf.DUMMYFUNCTION("""COMPUTED_VALUE"""),2.39)</f>
        <v>2.39</v>
      </c>
      <c r="H761" s="125"/>
      <c r="I761" s="131">
        <f ca="1">IFERROR(__xludf.DUMMYFUNCTION("""COMPUTED_VALUE"""),140000)</f>
        <v>140000</v>
      </c>
    </row>
    <row r="762" spans="2:9" ht="15.75" x14ac:dyDescent="0.25">
      <c r="B762" s="123" t="str">
        <f ca="1">IFERROR(__xludf.DUMMYFUNCTION("""COMPUTED_VALUE"""),"круг")</f>
        <v>круг</v>
      </c>
      <c r="C762" s="133" t="str">
        <f ca="1">IFERROR(__xludf.DUMMYFUNCTION("""COMPUTED_VALUE"""),"38хм")</f>
        <v>38хм</v>
      </c>
      <c r="D762" s="124">
        <f ca="1">IFERROR(__xludf.DUMMYFUNCTION("""COMPUTED_VALUE"""),120)</f>
        <v>120</v>
      </c>
      <c r="E762" s="124"/>
      <c r="F762" s="112" t="str">
        <f ca="1">IFERROR(__xludf.DUMMYFUNCTION("""COMPUTED_VALUE"""),"3ГП . В1,ll од 4000-5500")</f>
        <v>3ГП . В1,ll од 4000-5500</v>
      </c>
      <c r="G762" s="125">
        <f ca="1">IFERROR(__xludf.DUMMYFUNCTION("""COMPUTED_VALUE"""),3.722)</f>
        <v>3.722</v>
      </c>
      <c r="H762" s="125"/>
      <c r="I762" s="131">
        <f ca="1">IFERROR(__xludf.DUMMYFUNCTION("""COMPUTED_VALUE"""),135000)</f>
        <v>135000</v>
      </c>
    </row>
    <row r="763" spans="2:9" ht="15.75" x14ac:dyDescent="0.25">
      <c r="B763" s="123" t="str">
        <f ca="1">IFERROR(__xludf.DUMMYFUNCTION("""COMPUTED_VALUE"""),"круг")</f>
        <v>круг</v>
      </c>
      <c r="C763" s="133" t="str">
        <f ca="1">IFERROR(__xludf.DUMMYFUNCTION("""COMPUTED_VALUE"""),"38хм")</f>
        <v>38хм</v>
      </c>
      <c r="D763" s="124">
        <f ca="1">IFERROR(__xludf.DUMMYFUNCTION("""COMPUTED_VALUE"""),120)</f>
        <v>120</v>
      </c>
      <c r="E763" s="124"/>
      <c r="F763" s="112" t="str">
        <f ca="1">IFERROR(__xludf.DUMMYFUNCTION("""COMPUTED_VALUE"""),"3ГП . В1,ll од 4000-5500")</f>
        <v>3ГП . В1,ll од 4000-5500</v>
      </c>
      <c r="G763" s="125">
        <f ca="1">IFERROR(__xludf.DUMMYFUNCTION("""COMPUTED_VALUE"""),4.668)</f>
        <v>4.6680000000000001</v>
      </c>
      <c r="H763" s="125"/>
      <c r="I763" s="131">
        <f ca="1">IFERROR(__xludf.DUMMYFUNCTION("""COMPUTED_VALUE"""),135000)</f>
        <v>135000</v>
      </c>
    </row>
    <row r="764" spans="2:9" ht="15.75" x14ac:dyDescent="0.25">
      <c r="B764" s="123" t="str">
        <f ca="1">IFERROR(__xludf.DUMMYFUNCTION("""COMPUTED_VALUE"""),"круг")</f>
        <v>круг</v>
      </c>
      <c r="C764" s="133" t="str">
        <f ca="1">IFERROR(__xludf.DUMMYFUNCTION("""COMPUTED_VALUE"""),"38хм")</f>
        <v>38хм</v>
      </c>
      <c r="D764" s="124">
        <f ca="1">IFERROR(__xludf.DUMMYFUNCTION("""COMPUTED_VALUE"""),120)</f>
        <v>120</v>
      </c>
      <c r="E764" s="124"/>
      <c r="F764" s="112" t="str">
        <f ca="1">IFERROR(__xludf.DUMMYFUNCTION("""COMPUTED_VALUE"""),"3ГП . В1,ll од 4000-5500")</f>
        <v>3ГП . В1,ll од 4000-5500</v>
      </c>
      <c r="G764" s="125">
        <f ca="1">IFERROR(__xludf.DUMMYFUNCTION("""COMPUTED_VALUE"""),0.765)</f>
        <v>0.76500000000000001</v>
      </c>
      <c r="H764" s="125"/>
      <c r="I764" s="131">
        <f ca="1">IFERROR(__xludf.DUMMYFUNCTION("""COMPUTED_VALUE"""),135000)</f>
        <v>135000</v>
      </c>
    </row>
    <row r="765" spans="2:9" ht="15.75" x14ac:dyDescent="0.25">
      <c r="B765" s="123" t="str">
        <f ca="1">IFERROR(__xludf.DUMMYFUNCTION("""COMPUTED_VALUE"""),"круг")</f>
        <v>круг</v>
      </c>
      <c r="C765" s="133" t="str">
        <f ca="1">IFERROR(__xludf.DUMMYFUNCTION("""COMPUTED_VALUE"""),"38хм")</f>
        <v>38хм</v>
      </c>
      <c r="D765" s="124">
        <f ca="1">IFERROR(__xludf.DUMMYFUNCTION("""COMPUTED_VALUE"""),130)</f>
        <v>130</v>
      </c>
      <c r="E765" s="124"/>
      <c r="F765" s="112" t="str">
        <f ca="1">IFERROR(__xludf.DUMMYFUNCTION("""COMPUTED_VALUE"""),"2ГП")</f>
        <v>2ГП</v>
      </c>
      <c r="G765" s="125">
        <f ca="1">IFERROR(__xludf.DUMMYFUNCTION("""COMPUTED_VALUE"""),0.119)</f>
        <v>0.11899999999999999</v>
      </c>
      <c r="H765" s="125"/>
      <c r="I765" s="131">
        <f ca="1">IFERROR(__xludf.DUMMYFUNCTION("""COMPUTED_VALUE"""),130000)</f>
        <v>130000</v>
      </c>
    </row>
    <row r="766" spans="2:9" ht="15.75" x14ac:dyDescent="0.25">
      <c r="B766" s="123" t="str">
        <f ca="1">IFERROR(__xludf.DUMMYFUNCTION("""COMPUTED_VALUE"""),"круг")</f>
        <v>круг</v>
      </c>
      <c r="C766" s="133" t="str">
        <f ca="1">IFERROR(__xludf.DUMMYFUNCTION("""COMPUTED_VALUE"""),"38хм")</f>
        <v>38хм</v>
      </c>
      <c r="D766" s="124">
        <f ca="1">IFERROR(__xludf.DUMMYFUNCTION("""COMPUTED_VALUE"""),130)</f>
        <v>130</v>
      </c>
      <c r="E766" s="124"/>
      <c r="F766" s="112" t="str">
        <f ca="1">IFERROR(__xludf.DUMMYFUNCTION("""COMPUTED_VALUE"""),"2ГП , В1, ll")</f>
        <v>2ГП , В1, ll</v>
      </c>
      <c r="G766" s="125">
        <f ca="1">IFERROR(__xludf.DUMMYFUNCTION("""COMPUTED_VALUE"""),35)</f>
        <v>35</v>
      </c>
      <c r="H766" s="125"/>
      <c r="I766" s="131">
        <f ca="1">IFERROR(__xludf.DUMMYFUNCTION("""COMPUTED_VALUE"""),135000)</f>
        <v>135000</v>
      </c>
    </row>
    <row r="767" spans="2:9" ht="15.75" x14ac:dyDescent="0.25">
      <c r="B767" s="123" t="str">
        <f ca="1">IFERROR(__xludf.DUMMYFUNCTION("""COMPUTED_VALUE"""),"круг")</f>
        <v>круг</v>
      </c>
      <c r="C767" s="133" t="str">
        <f ca="1">IFERROR(__xludf.DUMMYFUNCTION("""COMPUTED_VALUE"""),"38хм")</f>
        <v>38хм</v>
      </c>
      <c r="D767" s="124">
        <f ca="1">IFERROR(__xludf.DUMMYFUNCTION("""COMPUTED_VALUE"""),140)</f>
        <v>140</v>
      </c>
      <c r="E767" s="124"/>
      <c r="F767" s="112" t="str">
        <f ca="1">IFERROR(__xludf.DUMMYFUNCTION("""COMPUTED_VALUE"""),"2ГП ")</f>
        <v xml:space="preserve">2ГП </v>
      </c>
      <c r="G767" s="125">
        <f ca="1">IFERROR(__xludf.DUMMYFUNCTION("""COMPUTED_VALUE"""),0.018)</f>
        <v>1.7999999999999999E-2</v>
      </c>
      <c r="H767" s="125"/>
      <c r="I767" s="131">
        <f ca="1">IFERROR(__xludf.DUMMYFUNCTION("""COMPUTED_VALUE"""),130000)</f>
        <v>130000</v>
      </c>
    </row>
    <row r="768" spans="2:9" ht="15.75" x14ac:dyDescent="0.25">
      <c r="B768" s="123" t="str">
        <f ca="1">IFERROR(__xludf.DUMMYFUNCTION("""COMPUTED_VALUE"""),"круг")</f>
        <v>круг</v>
      </c>
      <c r="C768" s="133" t="str">
        <f ca="1">IFERROR(__xludf.DUMMYFUNCTION("""COMPUTED_VALUE"""),"38хм")</f>
        <v>38хм</v>
      </c>
      <c r="D768" s="124">
        <f ca="1">IFERROR(__xludf.DUMMYFUNCTION("""COMPUTED_VALUE"""),140)</f>
        <v>140</v>
      </c>
      <c r="E768" s="124"/>
      <c r="F768" s="112" t="str">
        <f ca="1">IFERROR(__xludf.DUMMYFUNCTION("""COMPUTED_VALUE"""),"3ГП . В1,ll од 4000-5500")</f>
        <v>3ГП . В1,ll од 4000-5500</v>
      </c>
      <c r="G768" s="125">
        <f ca="1">IFERROR(__xludf.DUMMYFUNCTION("""COMPUTED_VALUE"""),3.601)</f>
        <v>3.601</v>
      </c>
      <c r="H768" s="125"/>
      <c r="I768" s="131">
        <f ca="1">IFERROR(__xludf.DUMMYFUNCTION("""COMPUTED_VALUE"""),135000)</f>
        <v>135000</v>
      </c>
    </row>
    <row r="769" spans="2:9" ht="15.75" x14ac:dyDescent="0.25">
      <c r="B769" s="123" t="str">
        <f ca="1">IFERROR(__xludf.DUMMYFUNCTION("""COMPUTED_VALUE"""),"круг")</f>
        <v>круг</v>
      </c>
      <c r="C769" s="133" t="str">
        <f ca="1">IFERROR(__xludf.DUMMYFUNCTION("""COMPUTED_VALUE"""),"38хм")</f>
        <v>38хм</v>
      </c>
      <c r="D769" s="124">
        <f ca="1">IFERROR(__xludf.DUMMYFUNCTION("""COMPUTED_VALUE"""),140)</f>
        <v>140</v>
      </c>
      <c r="E769" s="124"/>
      <c r="F769" s="112" t="str">
        <f ca="1">IFERROR(__xludf.DUMMYFUNCTION("""COMPUTED_VALUE"""),"2ГП , В1, ll")</f>
        <v>2ГП , В1, ll</v>
      </c>
      <c r="G769" s="125">
        <f ca="1">IFERROR(__xludf.DUMMYFUNCTION("""COMPUTED_VALUE"""),15)</f>
        <v>15</v>
      </c>
      <c r="H769" s="125"/>
      <c r="I769" s="131">
        <f ca="1">IFERROR(__xludf.DUMMYFUNCTION("""COMPUTED_VALUE"""),135000)</f>
        <v>135000</v>
      </c>
    </row>
    <row r="770" spans="2:9" ht="15.75" x14ac:dyDescent="0.25">
      <c r="B770" s="123" t="str">
        <f ca="1">IFERROR(__xludf.DUMMYFUNCTION("""COMPUTED_VALUE"""),"круг")</f>
        <v>круг</v>
      </c>
      <c r="C770" s="133" t="str">
        <f ca="1">IFERROR(__xludf.DUMMYFUNCTION("""COMPUTED_VALUE"""),"38хм")</f>
        <v>38хм</v>
      </c>
      <c r="D770" s="124">
        <f ca="1">IFERROR(__xludf.DUMMYFUNCTION("""COMPUTED_VALUE"""),150)</f>
        <v>150</v>
      </c>
      <c r="E770" s="124"/>
      <c r="F770" s="112" t="str">
        <f ca="1">IFERROR(__xludf.DUMMYFUNCTION("""COMPUTED_VALUE"""),"2ГП ")</f>
        <v xml:space="preserve">2ГП </v>
      </c>
      <c r="G770" s="125">
        <f ca="1">IFERROR(__xludf.DUMMYFUNCTION("""COMPUTED_VALUE"""),0.0360000000000004)</f>
        <v>3.60000000000004E-2</v>
      </c>
      <c r="H770" s="125"/>
      <c r="I770" s="131">
        <f ca="1">IFERROR(__xludf.DUMMYFUNCTION("""COMPUTED_VALUE"""),135000)</f>
        <v>135000</v>
      </c>
    </row>
    <row r="771" spans="2:9" ht="15.75" x14ac:dyDescent="0.25">
      <c r="B771" s="123" t="str">
        <f ca="1">IFERROR(__xludf.DUMMYFUNCTION("""COMPUTED_VALUE"""),"круг")</f>
        <v>круг</v>
      </c>
      <c r="C771" s="133" t="str">
        <f ca="1">IFERROR(__xludf.DUMMYFUNCTION("""COMPUTED_VALUE"""),"38хм")</f>
        <v>38хм</v>
      </c>
      <c r="D771" s="124">
        <f ca="1">IFERROR(__xludf.DUMMYFUNCTION("""COMPUTED_VALUE"""),150)</f>
        <v>150</v>
      </c>
      <c r="E771" s="124"/>
      <c r="F771" s="112" t="str">
        <f ca="1">IFERROR(__xludf.DUMMYFUNCTION("""COMPUTED_VALUE"""),"2ГП ")</f>
        <v xml:space="preserve">2ГП </v>
      </c>
      <c r="G771" s="125">
        <f ca="1">IFERROR(__xludf.DUMMYFUNCTION("""COMPUTED_VALUE"""),4.164)</f>
        <v>4.1639999999999997</v>
      </c>
      <c r="H771" s="125"/>
      <c r="I771" s="131">
        <f ca="1">IFERROR(__xludf.DUMMYFUNCTION("""COMPUTED_VALUE"""),125000)</f>
        <v>125000</v>
      </c>
    </row>
    <row r="772" spans="2:9" ht="15.75" x14ac:dyDescent="0.25">
      <c r="B772" s="123" t="str">
        <f ca="1">IFERROR(__xludf.DUMMYFUNCTION("""COMPUTED_VALUE"""),"круг")</f>
        <v>круг</v>
      </c>
      <c r="C772" s="133" t="str">
        <f ca="1">IFERROR(__xludf.DUMMYFUNCTION("""COMPUTED_VALUE"""),"38хм")</f>
        <v>38хм</v>
      </c>
      <c r="D772" s="124">
        <f ca="1">IFERROR(__xludf.DUMMYFUNCTION("""COMPUTED_VALUE"""),150)</f>
        <v>150</v>
      </c>
      <c r="E772" s="124"/>
      <c r="F772" s="112" t="str">
        <f ca="1">IFERROR(__xludf.DUMMYFUNCTION("""COMPUTED_VALUE"""),"3ГП . В1,ll од 4000-5500")</f>
        <v>3ГП . В1,ll од 4000-5500</v>
      </c>
      <c r="G772" s="125">
        <f ca="1">IFERROR(__xludf.DUMMYFUNCTION("""COMPUTED_VALUE"""),5)</f>
        <v>5</v>
      </c>
      <c r="H772" s="125"/>
      <c r="I772" s="131">
        <f ca="1">IFERROR(__xludf.DUMMYFUNCTION("""COMPUTED_VALUE"""),135000)</f>
        <v>135000</v>
      </c>
    </row>
    <row r="773" spans="2:9" ht="15.75" x14ac:dyDescent="0.25">
      <c r="B773" s="123" t="str">
        <f ca="1">IFERROR(__xludf.DUMMYFUNCTION("""COMPUTED_VALUE"""),"круг")</f>
        <v>круг</v>
      </c>
      <c r="C773" s="133" t="str">
        <f ca="1">IFERROR(__xludf.DUMMYFUNCTION("""COMPUTED_VALUE"""),"38хм")</f>
        <v>38хм</v>
      </c>
      <c r="D773" s="124">
        <f ca="1">IFERROR(__xludf.DUMMYFUNCTION("""COMPUTED_VALUE"""),160)</f>
        <v>160</v>
      </c>
      <c r="E773" s="124"/>
      <c r="F773" s="112" t="str">
        <f ca="1">IFERROR(__xludf.DUMMYFUNCTION("""COMPUTED_VALUE"""),"3ГП . В1,ll од 4000-5500")</f>
        <v>3ГП . В1,ll од 4000-5500</v>
      </c>
      <c r="G773" s="125">
        <f ca="1">IFERROR(__xludf.DUMMYFUNCTION("""COMPUTED_VALUE"""),2.73)</f>
        <v>2.73</v>
      </c>
      <c r="H773" s="125"/>
      <c r="I773" s="131">
        <f ca="1">IFERROR(__xludf.DUMMYFUNCTION("""COMPUTED_VALUE"""),135000)</f>
        <v>135000</v>
      </c>
    </row>
    <row r="774" spans="2:9" ht="15.75" x14ac:dyDescent="0.25">
      <c r="B774" s="123" t="str">
        <f ca="1">IFERROR(__xludf.DUMMYFUNCTION("""COMPUTED_VALUE"""),"круг")</f>
        <v>круг</v>
      </c>
      <c r="C774" s="133" t="str">
        <f ca="1">IFERROR(__xludf.DUMMYFUNCTION("""COMPUTED_VALUE"""),"38хм")</f>
        <v>38хм</v>
      </c>
      <c r="D774" s="124">
        <f ca="1">IFERROR(__xludf.DUMMYFUNCTION("""COMPUTED_VALUE"""),160)</f>
        <v>160</v>
      </c>
      <c r="E774" s="124"/>
      <c r="F774" s="112" t="str">
        <f ca="1">IFERROR(__xludf.DUMMYFUNCTION("""COMPUTED_VALUE"""),"3ГП . В1,ll од 4000-5500")</f>
        <v>3ГП . В1,ll од 4000-5500</v>
      </c>
      <c r="G774" s="125">
        <f ca="1">IFERROR(__xludf.DUMMYFUNCTION("""COMPUTED_VALUE"""),5.664)</f>
        <v>5.6639999999999997</v>
      </c>
      <c r="H774" s="125"/>
      <c r="I774" s="131">
        <f ca="1">IFERROR(__xludf.DUMMYFUNCTION("""COMPUTED_VALUE"""),135000)</f>
        <v>135000</v>
      </c>
    </row>
    <row r="775" spans="2:9" ht="15.75" x14ac:dyDescent="0.25">
      <c r="B775" s="123" t="str">
        <f ca="1">IFERROR(__xludf.DUMMYFUNCTION("""COMPUTED_VALUE"""),"круг")</f>
        <v>круг</v>
      </c>
      <c r="C775" s="133" t="str">
        <f ca="1">IFERROR(__xludf.DUMMYFUNCTION("""COMPUTED_VALUE"""),"38хм")</f>
        <v>38хм</v>
      </c>
      <c r="D775" s="124">
        <f ca="1">IFERROR(__xludf.DUMMYFUNCTION("""COMPUTED_VALUE"""),170)</f>
        <v>170</v>
      </c>
      <c r="E775" s="124"/>
      <c r="F775" s="112" t="str">
        <f ca="1">IFERROR(__xludf.DUMMYFUNCTION("""COMPUTED_VALUE"""),"3ГП, НМВ")</f>
        <v>3ГП, НМВ</v>
      </c>
      <c r="G775" s="125">
        <f ca="1">IFERROR(__xludf.DUMMYFUNCTION("""COMPUTED_VALUE"""),0.178)</f>
        <v>0.17799999999999999</v>
      </c>
      <c r="H775" s="125"/>
      <c r="I775" s="131">
        <f ca="1">IFERROR(__xludf.DUMMYFUNCTION("""COMPUTED_VALUE"""),130000)</f>
        <v>130000</v>
      </c>
    </row>
    <row r="776" spans="2:9" ht="15.75" x14ac:dyDescent="0.25">
      <c r="B776" s="123" t="str">
        <f ca="1">IFERROR(__xludf.DUMMYFUNCTION("""COMPUTED_VALUE"""),"круг")</f>
        <v>круг</v>
      </c>
      <c r="C776" s="133" t="str">
        <f ca="1">IFERROR(__xludf.DUMMYFUNCTION("""COMPUTED_VALUE"""),"38хм")</f>
        <v>38хм</v>
      </c>
      <c r="D776" s="124">
        <f ca="1">IFERROR(__xludf.DUMMYFUNCTION("""COMPUTED_VALUE"""),170)</f>
        <v>170</v>
      </c>
      <c r="E776" s="124"/>
      <c r="F776" s="112" t="str">
        <f ca="1">IFERROR(__xludf.DUMMYFUNCTION("""COMPUTED_VALUE"""),"2ГП ")</f>
        <v xml:space="preserve">2ГП </v>
      </c>
      <c r="G776" s="125">
        <f ca="1">IFERROR(__xludf.DUMMYFUNCTION("""COMPUTED_VALUE"""),3.298)</f>
        <v>3.298</v>
      </c>
      <c r="H776" s="125"/>
      <c r="I776" s="131">
        <f ca="1">IFERROR(__xludf.DUMMYFUNCTION("""COMPUTED_VALUE"""),125000)</f>
        <v>125000</v>
      </c>
    </row>
    <row r="777" spans="2:9" ht="15.75" x14ac:dyDescent="0.25">
      <c r="B777" s="123" t="str">
        <f ca="1">IFERROR(__xludf.DUMMYFUNCTION("""COMPUTED_VALUE"""),"круг")</f>
        <v>круг</v>
      </c>
      <c r="C777" s="133" t="str">
        <f ca="1">IFERROR(__xludf.DUMMYFUNCTION("""COMPUTED_VALUE"""),"38хм")</f>
        <v>38хм</v>
      </c>
      <c r="D777" s="124">
        <f ca="1">IFERROR(__xludf.DUMMYFUNCTION("""COMPUTED_VALUE"""),170)</f>
        <v>170</v>
      </c>
      <c r="E777" s="124"/>
      <c r="F777" s="112" t="str">
        <f ca="1">IFERROR(__xludf.DUMMYFUNCTION("""COMPUTED_VALUE"""),"3ГП . В1,ll од 4000-5500")</f>
        <v>3ГП . В1,ll од 4000-5500</v>
      </c>
      <c r="G777" s="125">
        <f ca="1">IFERROR(__xludf.DUMMYFUNCTION("""COMPUTED_VALUE"""),4.576)</f>
        <v>4.5759999999999996</v>
      </c>
      <c r="H777" s="125"/>
      <c r="I777" s="131">
        <f ca="1">IFERROR(__xludf.DUMMYFUNCTION("""COMPUTED_VALUE"""),135000)</f>
        <v>135000</v>
      </c>
    </row>
    <row r="778" spans="2:9" ht="15.75" x14ac:dyDescent="0.25">
      <c r="B778" s="123" t="str">
        <f ca="1">IFERROR(__xludf.DUMMYFUNCTION("""COMPUTED_VALUE"""),"круг")</f>
        <v>круг</v>
      </c>
      <c r="C778" s="133" t="str">
        <f ca="1">IFERROR(__xludf.DUMMYFUNCTION("""COMPUTED_VALUE"""),"38хм")</f>
        <v>38хм</v>
      </c>
      <c r="D778" s="124">
        <f ca="1">IFERROR(__xludf.DUMMYFUNCTION("""COMPUTED_VALUE"""),170)</f>
        <v>170</v>
      </c>
      <c r="E778" s="124"/>
      <c r="F778" s="112" t="str">
        <f ca="1">IFERROR(__xludf.DUMMYFUNCTION("""COMPUTED_VALUE"""),"3ГП . В1,ll од 4000-5500")</f>
        <v>3ГП . В1,ll од 4000-5500</v>
      </c>
      <c r="G778" s="125">
        <f ca="1">IFERROR(__xludf.DUMMYFUNCTION("""COMPUTED_VALUE"""),0.916)</f>
        <v>0.91600000000000004</v>
      </c>
      <c r="H778" s="125"/>
      <c r="I778" s="131">
        <f ca="1">IFERROR(__xludf.DUMMYFUNCTION("""COMPUTED_VALUE"""),135000)</f>
        <v>135000</v>
      </c>
    </row>
    <row r="779" spans="2:9" ht="15.75" x14ac:dyDescent="0.25">
      <c r="B779" s="123" t="str">
        <f ca="1">IFERROR(__xludf.DUMMYFUNCTION("""COMPUTED_VALUE"""),"круг")</f>
        <v>круг</v>
      </c>
      <c r="C779" s="133" t="str">
        <f ca="1">IFERROR(__xludf.DUMMYFUNCTION("""COMPUTED_VALUE"""),"38хм")</f>
        <v>38хм</v>
      </c>
      <c r="D779" s="124">
        <f ca="1">IFERROR(__xludf.DUMMYFUNCTION("""COMPUTED_VALUE"""),180)</f>
        <v>180</v>
      </c>
      <c r="E779" s="124"/>
      <c r="F779" s="112" t="str">
        <f ca="1">IFERROR(__xludf.DUMMYFUNCTION("""COMPUTED_VALUE"""),"3ГП, НМВ")</f>
        <v>3ГП, НМВ</v>
      </c>
      <c r="G779" s="125">
        <f ca="1">IFERROR(__xludf.DUMMYFUNCTION("""COMPUTED_VALUE"""),0.118999999999999)</f>
        <v>0.118999999999999</v>
      </c>
      <c r="H779" s="125"/>
      <c r="I779" s="131">
        <f ca="1">IFERROR(__xludf.DUMMYFUNCTION("""COMPUTED_VALUE"""),130000)</f>
        <v>130000</v>
      </c>
    </row>
    <row r="780" spans="2:9" ht="15.75" x14ac:dyDescent="0.25">
      <c r="B780" s="123" t="str">
        <f ca="1">IFERROR(__xludf.DUMMYFUNCTION("""COMPUTED_VALUE"""),"круг")</f>
        <v>круг</v>
      </c>
      <c r="C780" s="133" t="str">
        <f ca="1">IFERROR(__xludf.DUMMYFUNCTION("""COMPUTED_VALUE"""),"38хм")</f>
        <v>38хм</v>
      </c>
      <c r="D780" s="124">
        <f ca="1">IFERROR(__xludf.DUMMYFUNCTION("""COMPUTED_VALUE"""),180)</f>
        <v>180</v>
      </c>
      <c r="E780" s="124"/>
      <c r="F780" s="112" t="str">
        <f ca="1">IFERROR(__xludf.DUMMYFUNCTION("""COMPUTED_VALUE"""),"2ГП ")</f>
        <v xml:space="preserve">2ГП </v>
      </c>
      <c r="G780" s="125">
        <f ca="1">IFERROR(__xludf.DUMMYFUNCTION("""COMPUTED_VALUE"""),6.26099999999999)</f>
        <v>6.2609999999999904</v>
      </c>
      <c r="H780" s="125"/>
      <c r="I780" s="131">
        <f ca="1">IFERROR(__xludf.DUMMYFUNCTION("""COMPUTED_VALUE"""),130000)</f>
        <v>130000</v>
      </c>
    </row>
    <row r="781" spans="2:9" ht="15.75" x14ac:dyDescent="0.25">
      <c r="B781" s="123" t="str">
        <f ca="1">IFERROR(__xludf.DUMMYFUNCTION("""COMPUTED_VALUE"""),"круг")</f>
        <v>круг</v>
      </c>
      <c r="C781" s="133" t="str">
        <f ca="1">IFERROR(__xludf.DUMMYFUNCTION("""COMPUTED_VALUE"""),"38хм")</f>
        <v>38хм</v>
      </c>
      <c r="D781" s="124">
        <f ca="1">IFERROR(__xludf.DUMMYFUNCTION("""COMPUTED_VALUE"""),190)</f>
        <v>190</v>
      </c>
      <c r="E781" s="124"/>
      <c r="F781" s="112" t="str">
        <f ca="1">IFERROR(__xludf.DUMMYFUNCTION("""COMPUTED_VALUE"""),"3ГП")</f>
        <v>3ГП</v>
      </c>
      <c r="G781" s="125">
        <f ca="1">IFERROR(__xludf.DUMMYFUNCTION("""COMPUTED_VALUE"""),0.335000000000001)</f>
        <v>0.33500000000000102</v>
      </c>
      <c r="H781" s="125"/>
      <c r="I781" s="131">
        <f ca="1">IFERROR(__xludf.DUMMYFUNCTION("""COMPUTED_VALUE"""),135000)</f>
        <v>135000</v>
      </c>
    </row>
    <row r="782" spans="2:9" ht="15.75" x14ac:dyDescent="0.25">
      <c r="B782" s="123" t="str">
        <f ca="1">IFERROR(__xludf.DUMMYFUNCTION("""COMPUTED_VALUE"""),"круг")</f>
        <v>круг</v>
      </c>
      <c r="C782" s="133" t="str">
        <f ca="1">IFERROR(__xludf.DUMMYFUNCTION("""COMPUTED_VALUE"""),"38хм")</f>
        <v>38хм</v>
      </c>
      <c r="D782" s="124">
        <f ca="1">IFERROR(__xludf.DUMMYFUNCTION("""COMPUTED_VALUE"""),190)</f>
        <v>190</v>
      </c>
      <c r="E782" s="124"/>
      <c r="F782" s="112" t="str">
        <f ca="1">IFERROR(__xludf.DUMMYFUNCTION("""COMPUTED_VALUE"""),"2ГП ")</f>
        <v xml:space="preserve">2ГП </v>
      </c>
      <c r="G782" s="125">
        <f ca="1">IFERROR(__xludf.DUMMYFUNCTION("""COMPUTED_VALUE"""),0.761)</f>
        <v>0.76100000000000001</v>
      </c>
      <c r="H782" s="125"/>
      <c r="I782" s="131">
        <f ca="1">IFERROR(__xludf.DUMMYFUNCTION("""COMPUTED_VALUE"""),135000)</f>
        <v>135000</v>
      </c>
    </row>
    <row r="783" spans="2:9" ht="15.75" x14ac:dyDescent="0.25">
      <c r="B783" s="123" t="str">
        <f ca="1">IFERROR(__xludf.DUMMYFUNCTION("""COMPUTED_VALUE"""),"круг")</f>
        <v>круг</v>
      </c>
      <c r="C783" s="133" t="str">
        <f ca="1">IFERROR(__xludf.DUMMYFUNCTION("""COMPUTED_VALUE"""),"38хм")</f>
        <v>38хм</v>
      </c>
      <c r="D783" s="124">
        <f ca="1">IFERROR(__xludf.DUMMYFUNCTION("""COMPUTED_VALUE"""),190)</f>
        <v>190</v>
      </c>
      <c r="E783" s="124"/>
      <c r="F783" s="112" t="str">
        <f ca="1">IFERROR(__xludf.DUMMYFUNCTION("""COMPUTED_VALUE"""),"2ГП ")</f>
        <v xml:space="preserve">2ГП </v>
      </c>
      <c r="G783" s="125">
        <f ca="1">IFERROR(__xludf.DUMMYFUNCTION("""COMPUTED_VALUE"""),4.91)</f>
        <v>4.91</v>
      </c>
      <c r="H783" s="125"/>
      <c r="I783" s="131">
        <f ca="1">IFERROR(__xludf.DUMMYFUNCTION("""COMPUTED_VALUE"""),135000)</f>
        <v>135000</v>
      </c>
    </row>
    <row r="784" spans="2:9" ht="15.75" x14ac:dyDescent="0.25">
      <c r="B784" s="123" t="str">
        <f ca="1">IFERROR(__xludf.DUMMYFUNCTION("""COMPUTED_VALUE"""),"круг")</f>
        <v>круг</v>
      </c>
      <c r="C784" s="133" t="str">
        <f ca="1">IFERROR(__xludf.DUMMYFUNCTION("""COMPUTED_VALUE"""),"38хм")</f>
        <v>38хм</v>
      </c>
      <c r="D784" s="124">
        <f ca="1">IFERROR(__xludf.DUMMYFUNCTION("""COMPUTED_VALUE"""),200)</f>
        <v>200</v>
      </c>
      <c r="E784" s="124"/>
      <c r="F784" s="112" t="str">
        <f ca="1">IFERROR(__xludf.DUMMYFUNCTION("""COMPUTED_VALUE"""),"2ГП ")</f>
        <v xml:space="preserve">2ГП </v>
      </c>
      <c r="G784" s="125">
        <f ca="1">IFERROR(__xludf.DUMMYFUNCTION("""COMPUTED_VALUE"""),0.724999999999999)</f>
        <v>0.72499999999999898</v>
      </c>
      <c r="H784" s="125"/>
      <c r="I784" s="131">
        <f ca="1">IFERROR(__xludf.DUMMYFUNCTION("""COMPUTED_VALUE"""),130000)</f>
        <v>130000</v>
      </c>
    </row>
    <row r="785" spans="2:9" ht="15.75" x14ac:dyDescent="0.25">
      <c r="B785" s="123" t="str">
        <f ca="1">IFERROR(__xludf.DUMMYFUNCTION("""COMPUTED_VALUE"""),"круг")</f>
        <v>круг</v>
      </c>
      <c r="C785" s="133" t="str">
        <f ca="1">IFERROR(__xludf.DUMMYFUNCTION("""COMPUTED_VALUE"""),"38хм")</f>
        <v>38хм</v>
      </c>
      <c r="D785" s="124">
        <f ca="1">IFERROR(__xludf.DUMMYFUNCTION("""COMPUTED_VALUE"""),200)</f>
        <v>200</v>
      </c>
      <c r="E785" s="124"/>
      <c r="F785" s="112" t="str">
        <f ca="1">IFERROR(__xludf.DUMMYFUNCTION("""COMPUTED_VALUE"""),"2ГП ")</f>
        <v xml:space="preserve">2ГП </v>
      </c>
      <c r="G785" s="125">
        <f ca="1">IFERROR(__xludf.DUMMYFUNCTION("""COMPUTED_VALUE"""),3.45)</f>
        <v>3.45</v>
      </c>
      <c r="H785" s="125"/>
      <c r="I785" s="131">
        <f ca="1">IFERROR(__xludf.DUMMYFUNCTION("""COMPUTED_VALUE"""),130000)</f>
        <v>130000</v>
      </c>
    </row>
    <row r="786" spans="2:9" ht="15.75" x14ac:dyDescent="0.25">
      <c r="B786" s="123" t="str">
        <f ca="1">IFERROR(__xludf.DUMMYFUNCTION("""COMPUTED_VALUE"""),"круг")</f>
        <v>круг</v>
      </c>
      <c r="C786" s="133" t="str">
        <f ca="1">IFERROR(__xludf.DUMMYFUNCTION("""COMPUTED_VALUE"""),"38хм")</f>
        <v>38хм</v>
      </c>
      <c r="D786" s="124">
        <f ca="1">IFERROR(__xludf.DUMMYFUNCTION("""COMPUTED_VALUE"""),210)</f>
        <v>210</v>
      </c>
      <c r="E786" s="124"/>
      <c r="F786" s="112" t="str">
        <f ca="1">IFERROR(__xludf.DUMMYFUNCTION("""COMPUTED_VALUE"""),"3 гп, контроль НМВ")</f>
        <v>3 гп, контроль НМВ</v>
      </c>
      <c r="G786" s="125">
        <f ca="1">IFERROR(__xludf.DUMMYFUNCTION("""COMPUTED_VALUE"""),0.155)</f>
        <v>0.155</v>
      </c>
      <c r="H786" s="125"/>
      <c r="I786" s="131">
        <f ca="1">IFERROR(__xludf.DUMMYFUNCTION("""COMPUTED_VALUE"""),170000)</f>
        <v>170000</v>
      </c>
    </row>
    <row r="787" spans="2:9" ht="15.75" x14ac:dyDescent="0.25">
      <c r="B787" s="123" t="str">
        <f ca="1">IFERROR(__xludf.DUMMYFUNCTION("""COMPUTED_VALUE"""),"круг")</f>
        <v>круг</v>
      </c>
      <c r="C787" s="133" t="str">
        <f ca="1">IFERROR(__xludf.DUMMYFUNCTION("""COMPUTED_VALUE"""),"38хм")</f>
        <v>38хм</v>
      </c>
      <c r="D787" s="124">
        <f ca="1">IFERROR(__xludf.DUMMYFUNCTION("""COMPUTED_VALUE"""),210)</f>
        <v>210</v>
      </c>
      <c r="E787" s="124"/>
      <c r="F787" s="112" t="str">
        <f ca="1">IFERROR(__xludf.DUMMYFUNCTION("""COMPUTED_VALUE"""),"3ГП . В1, од 4000-5500")</f>
        <v>3ГП . В1, од 4000-5500</v>
      </c>
      <c r="G787" s="125">
        <f ca="1">IFERROR(__xludf.DUMMYFUNCTION("""COMPUTED_VALUE"""),4.005)</f>
        <v>4.0049999999999999</v>
      </c>
      <c r="H787" s="125"/>
      <c r="I787" s="131">
        <f ca="1">IFERROR(__xludf.DUMMYFUNCTION("""COMPUTED_VALUE"""),150000)</f>
        <v>150000</v>
      </c>
    </row>
    <row r="788" spans="2:9" ht="15.75" x14ac:dyDescent="0.25">
      <c r="B788" s="123" t="str">
        <f ca="1">IFERROR(__xludf.DUMMYFUNCTION("""COMPUTED_VALUE"""),"круг")</f>
        <v>круг</v>
      </c>
      <c r="C788" s="133" t="str">
        <f ca="1">IFERROR(__xludf.DUMMYFUNCTION("""COMPUTED_VALUE"""),"38хм")</f>
        <v>38хм</v>
      </c>
      <c r="D788" s="124">
        <f ca="1">IFERROR(__xludf.DUMMYFUNCTION("""COMPUTED_VALUE"""),220)</f>
        <v>220</v>
      </c>
      <c r="E788" s="124"/>
      <c r="F788" s="112" t="str">
        <f ca="1">IFERROR(__xludf.DUMMYFUNCTION("""COMPUTED_VALUE"""),"3 гп, контроль НМВ")</f>
        <v>3 гп, контроль НМВ</v>
      </c>
      <c r="G788" s="125">
        <f ca="1">IFERROR(__xludf.DUMMYFUNCTION("""COMPUTED_VALUE"""),0.312999999999999)</f>
        <v>0.312999999999999</v>
      </c>
      <c r="H788" s="125"/>
      <c r="I788" s="131">
        <f ca="1">IFERROR(__xludf.DUMMYFUNCTION("""COMPUTED_VALUE"""),170000)</f>
        <v>170000</v>
      </c>
    </row>
    <row r="789" spans="2:9" ht="15.75" x14ac:dyDescent="0.25">
      <c r="B789" s="123" t="str">
        <f ca="1">IFERROR(__xludf.DUMMYFUNCTION("""COMPUTED_VALUE"""),"круг")</f>
        <v>круг</v>
      </c>
      <c r="C789" s="133" t="str">
        <f ca="1">IFERROR(__xludf.DUMMYFUNCTION("""COMPUTED_VALUE"""),"38хм")</f>
        <v>38хм</v>
      </c>
      <c r="D789" s="124">
        <f ca="1">IFERROR(__xludf.DUMMYFUNCTION("""COMPUTED_VALUE"""),220)</f>
        <v>220</v>
      </c>
      <c r="E789" s="124"/>
      <c r="F789" s="112" t="str">
        <f ca="1">IFERROR(__xludf.DUMMYFUNCTION("""COMPUTED_VALUE"""),"3 гп, контроль НМВ")</f>
        <v>3 гп, контроль НМВ</v>
      </c>
      <c r="G789" s="125">
        <f ca="1">IFERROR(__xludf.DUMMYFUNCTION("""COMPUTED_VALUE"""),5.511)</f>
        <v>5.5110000000000001</v>
      </c>
      <c r="H789" s="125"/>
      <c r="I789" s="131">
        <f ca="1">IFERROR(__xludf.DUMMYFUNCTION("""COMPUTED_VALUE"""),170000)</f>
        <v>170000</v>
      </c>
    </row>
    <row r="790" spans="2:9" ht="15.75" x14ac:dyDescent="0.25">
      <c r="B790" s="123" t="str">
        <f ca="1">IFERROR(__xludf.DUMMYFUNCTION("""COMPUTED_VALUE"""),"круг")</f>
        <v>круг</v>
      </c>
      <c r="C790" s="133" t="str">
        <f ca="1">IFERROR(__xludf.DUMMYFUNCTION("""COMPUTED_VALUE"""),"38хм")</f>
        <v>38хм</v>
      </c>
      <c r="D790" s="124">
        <f ca="1">IFERROR(__xludf.DUMMYFUNCTION("""COMPUTED_VALUE"""),230)</f>
        <v>230</v>
      </c>
      <c r="E790" s="124"/>
      <c r="F790" s="112" t="str">
        <f ca="1">IFERROR(__xludf.DUMMYFUNCTION("""COMPUTED_VALUE"""),"3 гп, контроль НМВ")</f>
        <v>3 гп, контроль НМВ</v>
      </c>
      <c r="G790" s="125">
        <f ca="1">IFERROR(__xludf.DUMMYFUNCTION("""COMPUTED_VALUE"""),0.473)</f>
        <v>0.47299999999999998</v>
      </c>
      <c r="H790" s="125"/>
      <c r="I790" s="131">
        <f ca="1">IFERROR(__xludf.DUMMYFUNCTION("""COMPUTED_VALUE"""),170000)</f>
        <v>170000</v>
      </c>
    </row>
    <row r="791" spans="2:9" ht="15.75" x14ac:dyDescent="0.25">
      <c r="B791" s="123" t="str">
        <f ca="1">IFERROR(__xludf.DUMMYFUNCTION("""COMPUTED_VALUE"""),"круг")</f>
        <v>круг</v>
      </c>
      <c r="C791" s="133" t="str">
        <f ca="1">IFERROR(__xludf.DUMMYFUNCTION("""COMPUTED_VALUE"""),"38хм")</f>
        <v>38хм</v>
      </c>
      <c r="D791" s="124">
        <f ca="1">IFERROR(__xludf.DUMMYFUNCTION("""COMPUTED_VALUE"""),230)</f>
        <v>230</v>
      </c>
      <c r="E791" s="124"/>
      <c r="F791" s="112" t="str">
        <f ca="1">IFERROR(__xludf.DUMMYFUNCTION("""COMPUTED_VALUE"""),"3ГП . В1, од 4000-5500")</f>
        <v>3ГП . В1, од 4000-5500</v>
      </c>
      <c r="G791" s="125">
        <f ca="1">IFERROR(__xludf.DUMMYFUNCTION("""COMPUTED_VALUE"""),1.776)</f>
        <v>1.776</v>
      </c>
      <c r="H791" s="125"/>
      <c r="I791" s="131">
        <f ca="1">IFERROR(__xludf.DUMMYFUNCTION("""COMPUTED_VALUE"""),150000)</f>
        <v>150000</v>
      </c>
    </row>
    <row r="792" spans="2:9" ht="15.75" x14ac:dyDescent="0.25">
      <c r="B792" s="123" t="str">
        <f ca="1">IFERROR(__xludf.DUMMYFUNCTION("""COMPUTED_VALUE"""),"круг")</f>
        <v>круг</v>
      </c>
      <c r="C792" s="133" t="str">
        <f ca="1">IFERROR(__xludf.DUMMYFUNCTION("""COMPUTED_VALUE"""),"38хм")</f>
        <v>38хм</v>
      </c>
      <c r="D792" s="124">
        <f ca="1">IFERROR(__xludf.DUMMYFUNCTION("""COMPUTED_VALUE"""),240)</f>
        <v>240</v>
      </c>
      <c r="E792" s="124"/>
      <c r="F792" s="112" t="str">
        <f ca="1">IFERROR(__xludf.DUMMYFUNCTION("""COMPUTED_VALUE"""),"2ГП ")</f>
        <v xml:space="preserve">2ГП </v>
      </c>
      <c r="G792" s="125">
        <f ca="1">IFERROR(__xludf.DUMMYFUNCTION("""COMPUTED_VALUE"""),0.75)</f>
        <v>0.75</v>
      </c>
      <c r="H792" s="125"/>
      <c r="I792" s="131">
        <f ca="1">IFERROR(__xludf.DUMMYFUNCTION("""COMPUTED_VALUE"""),155000)</f>
        <v>155000</v>
      </c>
    </row>
    <row r="793" spans="2:9" ht="15.75" x14ac:dyDescent="0.25">
      <c r="B793" s="123" t="str">
        <f ca="1">IFERROR(__xludf.DUMMYFUNCTION("""COMPUTED_VALUE"""),"круг")</f>
        <v>круг</v>
      </c>
      <c r="C793" s="133" t="str">
        <f ca="1">IFERROR(__xludf.DUMMYFUNCTION("""COMPUTED_VALUE"""),"38хм")</f>
        <v>38хм</v>
      </c>
      <c r="D793" s="124">
        <f ca="1">IFERROR(__xludf.DUMMYFUNCTION("""COMPUTED_VALUE"""),250)</f>
        <v>250</v>
      </c>
      <c r="E793" s="124"/>
      <c r="F793" s="112" t="str">
        <f ca="1">IFERROR(__xludf.DUMMYFUNCTION("""COMPUTED_VALUE"""),"2ГП ")</f>
        <v xml:space="preserve">2ГП </v>
      </c>
      <c r="G793" s="125">
        <f ca="1">IFERROR(__xludf.DUMMYFUNCTION("""COMPUTED_VALUE"""),2.65699999999999)</f>
        <v>2.6569999999999898</v>
      </c>
      <c r="H793" s="125"/>
      <c r="I793" s="131">
        <f ca="1">IFERROR(__xludf.DUMMYFUNCTION("""COMPUTED_VALUE"""),185000)</f>
        <v>185000</v>
      </c>
    </row>
    <row r="794" spans="2:9" ht="15.75" x14ac:dyDescent="0.25">
      <c r="B794" s="123" t="str">
        <f ca="1">IFERROR(__xludf.DUMMYFUNCTION("""COMPUTED_VALUE"""),"круг")</f>
        <v>круг</v>
      </c>
      <c r="C794" s="133" t="str">
        <f ca="1">IFERROR(__xludf.DUMMYFUNCTION("""COMPUTED_VALUE"""),"38хм")</f>
        <v>38хм</v>
      </c>
      <c r="D794" s="124">
        <f ca="1">IFERROR(__xludf.DUMMYFUNCTION("""COMPUTED_VALUE"""),270)</f>
        <v>270</v>
      </c>
      <c r="E794" s="124"/>
      <c r="F794" s="112" t="str">
        <f ca="1">IFERROR(__xludf.DUMMYFUNCTION("""COMPUTED_VALUE"""),"3 гп, контроль НМВ")</f>
        <v>3 гп, контроль НМВ</v>
      </c>
      <c r="G794" s="125">
        <f ca="1">IFERROR(__xludf.DUMMYFUNCTION("""COMPUTED_VALUE"""),0.054)</f>
        <v>5.3999999999999999E-2</v>
      </c>
      <c r="H794" s="125"/>
      <c r="I794" s="131">
        <f ca="1">IFERROR(__xludf.DUMMYFUNCTION("""COMPUTED_VALUE"""),195000)</f>
        <v>195000</v>
      </c>
    </row>
    <row r="795" spans="2:9" ht="15.75" x14ac:dyDescent="0.25">
      <c r="B795" s="123" t="str">
        <f ca="1">IFERROR(__xludf.DUMMYFUNCTION("""COMPUTED_VALUE"""),"круг")</f>
        <v>круг</v>
      </c>
      <c r="C795" s="133" t="str">
        <f ca="1">IFERROR(__xludf.DUMMYFUNCTION("""COMPUTED_VALUE"""),"38хм")</f>
        <v>38хм</v>
      </c>
      <c r="D795" s="124">
        <f ca="1">IFERROR(__xludf.DUMMYFUNCTION("""COMPUTED_VALUE"""),270)</f>
        <v>270</v>
      </c>
      <c r="E795" s="124"/>
      <c r="F795" s="112" t="str">
        <f ca="1">IFERROR(__xludf.DUMMYFUNCTION("""COMPUTED_VALUE"""),"3ГП, ТУ 14-1-2118, отжиг 4000-5500")</f>
        <v>3ГП, ТУ 14-1-2118, отжиг 4000-5500</v>
      </c>
      <c r="G795" s="125">
        <f ca="1">IFERROR(__xludf.DUMMYFUNCTION("""COMPUTED_VALUE"""),5.59699999999999)</f>
        <v>5.5969999999999898</v>
      </c>
      <c r="H795" s="125"/>
      <c r="I795" s="131">
        <f ca="1">IFERROR(__xludf.DUMMYFUNCTION("""COMPUTED_VALUE"""),180000)</f>
        <v>180000</v>
      </c>
    </row>
    <row r="796" spans="2:9" ht="15.75" x14ac:dyDescent="0.25">
      <c r="B796" s="123" t="str">
        <f ca="1">IFERROR(__xludf.DUMMYFUNCTION("""COMPUTED_VALUE"""),"круг")</f>
        <v>круг</v>
      </c>
      <c r="C796" s="133" t="str">
        <f ca="1">IFERROR(__xludf.DUMMYFUNCTION("""COMPUTED_VALUE"""),"38хм")</f>
        <v>38хм</v>
      </c>
      <c r="D796" s="124">
        <f ca="1">IFERROR(__xludf.DUMMYFUNCTION("""COMPUTED_VALUE"""),280)</f>
        <v>280</v>
      </c>
      <c r="E796" s="124"/>
      <c r="F796" s="112"/>
      <c r="G796" s="125">
        <f ca="1">IFERROR(__xludf.DUMMYFUNCTION("""COMPUTED_VALUE"""),0.508)</f>
        <v>0.50800000000000001</v>
      </c>
      <c r="H796" s="125"/>
      <c r="I796" s="131">
        <f ca="1">IFERROR(__xludf.DUMMYFUNCTION("""COMPUTED_VALUE"""),195000)</f>
        <v>195000</v>
      </c>
    </row>
    <row r="797" spans="2:9" ht="15.75" x14ac:dyDescent="0.25">
      <c r="B797" s="123" t="str">
        <f ca="1">IFERROR(__xludf.DUMMYFUNCTION("""COMPUTED_VALUE"""),"круг")</f>
        <v>круг</v>
      </c>
      <c r="C797" s="133" t="str">
        <f ca="1">IFERROR(__xludf.DUMMYFUNCTION("""COMPUTED_VALUE"""),"38хм")</f>
        <v>38хм</v>
      </c>
      <c r="D797" s="124">
        <f ca="1">IFERROR(__xludf.DUMMYFUNCTION("""COMPUTED_VALUE"""),280)</f>
        <v>280</v>
      </c>
      <c r="E797" s="124"/>
      <c r="F797" s="112"/>
      <c r="G797" s="125">
        <f ca="1">IFERROR(__xludf.DUMMYFUNCTION("""COMPUTED_VALUE"""),0.164)</f>
        <v>0.16400000000000001</v>
      </c>
      <c r="H797" s="125"/>
      <c r="I797" s="131">
        <f ca="1">IFERROR(__xludf.DUMMYFUNCTION("""COMPUTED_VALUE"""),195000)</f>
        <v>195000</v>
      </c>
    </row>
    <row r="798" spans="2:9" ht="15.75" x14ac:dyDescent="0.25">
      <c r="B798" s="123" t="str">
        <f ca="1">IFERROR(__xludf.DUMMYFUNCTION("""COMPUTED_VALUE"""),"круг")</f>
        <v>круг</v>
      </c>
      <c r="C798" s="133" t="str">
        <f ca="1">IFERROR(__xludf.DUMMYFUNCTION("""COMPUTED_VALUE"""),"38хм")</f>
        <v>38хм</v>
      </c>
      <c r="D798" s="124">
        <f ca="1">IFERROR(__xludf.DUMMYFUNCTION("""COMPUTED_VALUE"""),280)</f>
        <v>280</v>
      </c>
      <c r="E798" s="124"/>
      <c r="F798" s="112" t="str">
        <f ca="1">IFERROR(__xludf.DUMMYFUNCTION("""COMPUTED_VALUE"""),"3ГП, ТУ 14-1-2118, отжиг 4000-5500")</f>
        <v>3ГП, ТУ 14-1-2118, отжиг 4000-5500</v>
      </c>
      <c r="G798" s="125">
        <f ca="1">IFERROR(__xludf.DUMMYFUNCTION("""COMPUTED_VALUE"""),2.564)</f>
        <v>2.5640000000000001</v>
      </c>
      <c r="H798" s="125"/>
      <c r="I798" s="131">
        <f ca="1">IFERROR(__xludf.DUMMYFUNCTION("""COMPUTED_VALUE"""),180000)</f>
        <v>180000</v>
      </c>
    </row>
    <row r="799" spans="2:9" ht="15.75" x14ac:dyDescent="0.25">
      <c r="B799" s="123" t="str">
        <f ca="1">IFERROR(__xludf.DUMMYFUNCTION("""COMPUTED_VALUE"""),"круг")</f>
        <v>круг</v>
      </c>
      <c r="C799" s="133" t="str">
        <f ca="1">IFERROR(__xludf.DUMMYFUNCTION("""COMPUTED_VALUE"""),"38хм")</f>
        <v>38хм</v>
      </c>
      <c r="D799" s="124">
        <f ca="1">IFERROR(__xludf.DUMMYFUNCTION("""COMPUTED_VALUE"""),300)</f>
        <v>300</v>
      </c>
      <c r="E799" s="124"/>
      <c r="F799" s="112" t="str">
        <f ca="1">IFERROR(__xludf.DUMMYFUNCTION("""COMPUTED_VALUE"""),"3 гп")</f>
        <v>3 гп</v>
      </c>
      <c r="G799" s="125">
        <f ca="1">IFERROR(__xludf.DUMMYFUNCTION("""COMPUTED_VALUE"""),0.329)</f>
        <v>0.32900000000000001</v>
      </c>
      <c r="H799" s="125"/>
      <c r="I799" s="131">
        <f ca="1">IFERROR(__xludf.DUMMYFUNCTION("""COMPUTED_VALUE"""),220000)</f>
        <v>220000</v>
      </c>
    </row>
    <row r="800" spans="2:9" ht="15.75" x14ac:dyDescent="0.25">
      <c r="B800" s="123" t="str">
        <f ca="1">IFERROR(__xludf.DUMMYFUNCTION("""COMPUTED_VALUE"""),"круг")</f>
        <v>круг</v>
      </c>
      <c r="C800" s="133" t="str">
        <f ca="1">IFERROR(__xludf.DUMMYFUNCTION("""COMPUTED_VALUE"""),"38хм")</f>
        <v>38хм</v>
      </c>
      <c r="D800" s="124">
        <f ca="1">IFERROR(__xludf.DUMMYFUNCTION("""COMPUTED_VALUE"""),300)</f>
        <v>300</v>
      </c>
      <c r="E800" s="124"/>
      <c r="F800" s="112" t="str">
        <f ca="1">IFERROR(__xludf.DUMMYFUNCTION("""COMPUTED_VALUE"""),"3ГП, ТУ 14-1-2118, отжиг 4000-5500")</f>
        <v>3ГП, ТУ 14-1-2118, отжиг 4000-5500</v>
      </c>
      <c r="G800" s="125">
        <f ca="1">IFERROR(__xludf.DUMMYFUNCTION("""COMPUTED_VALUE"""),2.61499999999999)</f>
        <v>2.61499999999999</v>
      </c>
      <c r="H800" s="125"/>
      <c r="I800" s="131">
        <f ca="1">IFERROR(__xludf.DUMMYFUNCTION("""COMPUTED_VALUE"""),195000)</f>
        <v>195000</v>
      </c>
    </row>
    <row r="801" spans="2:9" ht="15.75" x14ac:dyDescent="0.25">
      <c r="B801" s="123" t="str">
        <f ca="1">IFERROR(__xludf.DUMMYFUNCTION("""COMPUTED_VALUE"""),"круг")</f>
        <v>круг</v>
      </c>
      <c r="C801" s="133" t="str">
        <f ca="1">IFERROR(__xludf.DUMMYFUNCTION("""COMPUTED_VALUE"""),"38хм")</f>
        <v>38хм</v>
      </c>
      <c r="D801" s="124">
        <f ca="1">IFERROR(__xludf.DUMMYFUNCTION("""COMPUTED_VALUE"""),320)</f>
        <v>320</v>
      </c>
      <c r="E801" s="124"/>
      <c r="F801" s="112" t="str">
        <f ca="1">IFERROR(__xludf.DUMMYFUNCTION("""COMPUTED_VALUE"""),"3 гп")</f>
        <v>3 гп</v>
      </c>
      <c r="G801" s="125">
        <f ca="1">IFERROR(__xludf.DUMMYFUNCTION("""COMPUTED_VALUE"""),0.535)</f>
        <v>0.53500000000000003</v>
      </c>
      <c r="H801" s="125"/>
      <c r="I801" s="131">
        <f ca="1">IFERROR(__xludf.DUMMYFUNCTION("""COMPUTED_VALUE"""),220000)</f>
        <v>220000</v>
      </c>
    </row>
    <row r="802" spans="2:9" ht="15.75" x14ac:dyDescent="0.25">
      <c r="B802" s="123" t="str">
        <f ca="1">IFERROR(__xludf.DUMMYFUNCTION("""COMPUTED_VALUE"""),"круг")</f>
        <v>круг</v>
      </c>
      <c r="C802" s="133" t="str">
        <f ca="1">IFERROR(__xludf.DUMMYFUNCTION("""COMPUTED_VALUE"""),"38хм")</f>
        <v>38хм</v>
      </c>
      <c r="D802" s="124">
        <f ca="1">IFERROR(__xludf.DUMMYFUNCTION("""COMPUTED_VALUE"""),320)</f>
        <v>320</v>
      </c>
      <c r="E802" s="124"/>
      <c r="F802" s="112" t="str">
        <f ca="1">IFERROR(__xludf.DUMMYFUNCTION("""COMPUTED_VALUE"""),"3ГП, ТУ 14-1-2118, отжиг 4000-5500")</f>
        <v>3ГП, ТУ 14-1-2118, отжиг 4000-5500</v>
      </c>
      <c r="G802" s="125">
        <f ca="1">IFERROR(__xludf.DUMMYFUNCTION("""COMPUTED_VALUE"""),5.465)</f>
        <v>5.4649999999999999</v>
      </c>
      <c r="H802" s="125"/>
      <c r="I802" s="131">
        <f ca="1">IFERROR(__xludf.DUMMYFUNCTION("""COMPUTED_VALUE"""),220000)</f>
        <v>220000</v>
      </c>
    </row>
    <row r="803" spans="2:9" ht="15.75" x14ac:dyDescent="0.25">
      <c r="B803" s="123" t="str">
        <f ca="1">IFERROR(__xludf.DUMMYFUNCTION("""COMPUTED_VALUE"""),"круг")</f>
        <v>круг</v>
      </c>
      <c r="C803" s="133" t="str">
        <f ca="1">IFERROR(__xludf.DUMMYFUNCTION("""COMPUTED_VALUE"""),"38хм")</f>
        <v>38хм</v>
      </c>
      <c r="D803" s="124">
        <f ca="1">IFERROR(__xludf.DUMMYFUNCTION("""COMPUTED_VALUE"""),350)</f>
        <v>350</v>
      </c>
      <c r="E803" s="124"/>
      <c r="F803" s="112" t="str">
        <f ca="1">IFERROR(__xludf.DUMMYFUNCTION("""COMPUTED_VALUE"""),"3 гп")</f>
        <v>3 гп</v>
      </c>
      <c r="G803" s="125">
        <f ca="1">IFERROR(__xludf.DUMMYFUNCTION("""COMPUTED_VALUE"""),3.726)</f>
        <v>3.726</v>
      </c>
      <c r="H803" s="125"/>
      <c r="I803" s="131">
        <f ca="1">IFERROR(__xludf.DUMMYFUNCTION("""COMPUTED_VALUE"""),220000)</f>
        <v>220000</v>
      </c>
    </row>
    <row r="804" spans="2:9" ht="15.75" x14ac:dyDescent="0.25">
      <c r="B804" s="123" t="str">
        <f ca="1">IFERROR(__xludf.DUMMYFUNCTION("""COMPUTED_VALUE"""),"круг")</f>
        <v>круг</v>
      </c>
      <c r="C804" s="133" t="str">
        <f ca="1">IFERROR(__xludf.DUMMYFUNCTION("""COMPUTED_VALUE"""),"38хм (ков)")</f>
        <v>38хм (ков)</v>
      </c>
      <c r="D804" s="124">
        <f ca="1">IFERROR(__xludf.DUMMYFUNCTION("""COMPUTED_VALUE"""),360)</f>
        <v>360</v>
      </c>
      <c r="E804" s="124"/>
      <c r="F804" s="112" t="str">
        <f ca="1">IFERROR(__xludf.DUMMYFUNCTION("""COMPUTED_VALUE""")," УЗК, НМВ")</f>
        <v xml:space="preserve"> УЗК, НМВ</v>
      </c>
      <c r="G804" s="125">
        <f ca="1">IFERROR(__xludf.DUMMYFUNCTION("""COMPUTED_VALUE"""),2.64)</f>
        <v>2.64</v>
      </c>
      <c r="H804" s="125"/>
      <c r="I804" s="131">
        <f ca="1">IFERROR(__xludf.DUMMYFUNCTION("""COMPUTED_VALUE"""),240000)</f>
        <v>240000</v>
      </c>
    </row>
    <row r="805" spans="2:9" ht="15.75" x14ac:dyDescent="0.25">
      <c r="B805" s="123" t="str">
        <f ca="1">IFERROR(__xludf.DUMMYFUNCTION("""COMPUTED_VALUE"""),"круг")</f>
        <v>круг</v>
      </c>
      <c r="C805" s="133" t="str">
        <f ca="1">IFERROR(__xludf.DUMMYFUNCTION("""COMPUTED_VALUE"""),"38хм (ков)")</f>
        <v>38хм (ков)</v>
      </c>
      <c r="D805" s="124">
        <f ca="1">IFERROR(__xludf.DUMMYFUNCTION("""COMPUTED_VALUE"""),420)</f>
        <v>420</v>
      </c>
      <c r="E805" s="124"/>
      <c r="F805" s="112" t="str">
        <f ca="1">IFERROR(__xludf.DUMMYFUNCTION("""COMPUTED_VALUE""")," УЗК, НМВ")</f>
        <v xml:space="preserve"> УЗК, НМВ</v>
      </c>
      <c r="G805" s="125">
        <f ca="1">IFERROR(__xludf.DUMMYFUNCTION("""COMPUTED_VALUE"""),1.44)</f>
        <v>1.44</v>
      </c>
      <c r="H805" s="125"/>
      <c r="I805" s="131">
        <f ca="1">IFERROR(__xludf.DUMMYFUNCTION("""COMPUTED_VALUE"""),240000)</f>
        <v>240000</v>
      </c>
    </row>
    <row r="806" spans="2:9" ht="15.75" x14ac:dyDescent="0.25">
      <c r="B806" s="123" t="str">
        <f ca="1">IFERROR(__xludf.DUMMYFUNCTION("""COMPUTED_VALUE"""),"круг")</f>
        <v>круг</v>
      </c>
      <c r="C806" s="133" t="str">
        <f ca="1">IFERROR(__xludf.DUMMYFUNCTION("""COMPUTED_VALUE"""),"38хм (ков)")</f>
        <v>38хм (ков)</v>
      </c>
      <c r="D806" s="124">
        <f ca="1">IFERROR(__xludf.DUMMYFUNCTION("""COMPUTED_VALUE"""),450)</f>
        <v>450</v>
      </c>
      <c r="E806" s="124"/>
      <c r="F806" s="112"/>
      <c r="G806" s="125">
        <f ca="1">IFERROR(__xludf.DUMMYFUNCTION("""COMPUTED_VALUE"""),0.814)</f>
        <v>0.81399999999999995</v>
      </c>
      <c r="H806" s="125"/>
      <c r="I806" s="131">
        <f ca="1">IFERROR(__xludf.DUMMYFUNCTION("""COMPUTED_VALUE"""),240000)</f>
        <v>240000</v>
      </c>
    </row>
    <row r="807" spans="2:9" ht="15.75" x14ac:dyDescent="0.25">
      <c r="B807" s="123" t="str">
        <f ca="1">IFERROR(__xludf.DUMMYFUNCTION("""COMPUTED_VALUE"""),"круг")</f>
        <v>круг</v>
      </c>
      <c r="C807" s="133" t="str">
        <f ca="1">IFERROR(__xludf.DUMMYFUNCTION("""COMPUTED_VALUE"""),"38хм (ков)")</f>
        <v>38хм (ков)</v>
      </c>
      <c r="D807" s="124">
        <f ca="1">IFERROR(__xludf.DUMMYFUNCTION("""COMPUTED_VALUE"""),450)</f>
        <v>450</v>
      </c>
      <c r="E807" s="124"/>
      <c r="F807" s="112" t="str">
        <f ca="1">IFERROR(__xludf.DUMMYFUNCTION("""COMPUTED_VALUE"""),"4590мм")</f>
        <v>4590мм</v>
      </c>
      <c r="G807" s="125">
        <f ca="1">IFERROR(__xludf.DUMMYFUNCTION("""COMPUTED_VALUE"""),5.69)</f>
        <v>5.69</v>
      </c>
      <c r="H807" s="125"/>
      <c r="I807" s="131">
        <f ca="1">IFERROR(__xludf.DUMMYFUNCTION("""COMPUTED_VALUE"""),240000)</f>
        <v>240000</v>
      </c>
    </row>
    <row r="808" spans="2:9" ht="15.75" x14ac:dyDescent="0.25">
      <c r="B808" s="123" t="str">
        <f ca="1">IFERROR(__xludf.DUMMYFUNCTION("""COMPUTED_VALUE"""),"круг")</f>
        <v>круг</v>
      </c>
      <c r="C808" s="133" t="str">
        <f ca="1">IFERROR(__xludf.DUMMYFUNCTION("""COMPUTED_VALUE"""),"38хм (ков)")</f>
        <v>38хм (ков)</v>
      </c>
      <c r="D808" s="124">
        <f ca="1">IFERROR(__xludf.DUMMYFUNCTION("""COMPUTED_VALUE"""),480)</f>
        <v>480</v>
      </c>
      <c r="E808" s="124"/>
      <c r="F808" s="112" t="str">
        <f ca="1">IFERROR(__xludf.DUMMYFUNCTION("""COMPUTED_VALUE""")," УЗК, НМВ")</f>
        <v xml:space="preserve"> УЗК, НМВ</v>
      </c>
      <c r="G808" s="125">
        <f ca="1">IFERROR(__xludf.DUMMYFUNCTION("""COMPUTED_VALUE"""),1.853)</f>
        <v>1.853</v>
      </c>
      <c r="H808" s="125"/>
      <c r="I808" s="131">
        <f ca="1">IFERROR(__xludf.DUMMYFUNCTION("""COMPUTED_VALUE"""),240000)</f>
        <v>240000</v>
      </c>
    </row>
    <row r="809" spans="2:9" ht="15.75" x14ac:dyDescent="0.25">
      <c r="B809" s="123" t="str">
        <f ca="1">IFERROR(__xludf.DUMMYFUNCTION("""COMPUTED_VALUE"""),"круг")</f>
        <v>круг</v>
      </c>
      <c r="C809" s="133" t="str">
        <f ca="1">IFERROR(__xludf.DUMMYFUNCTION("""COMPUTED_VALUE"""),"38хм (ков)")</f>
        <v>38хм (ков)</v>
      </c>
      <c r="D809" s="124">
        <f ca="1">IFERROR(__xludf.DUMMYFUNCTION("""COMPUTED_VALUE"""),480)</f>
        <v>480</v>
      </c>
      <c r="E809" s="124"/>
      <c r="F809" s="112" t="str">
        <f ca="1">IFERROR(__xludf.DUMMYFUNCTION("""COMPUTED_VALUE""")," УЗК, НМВ")</f>
        <v xml:space="preserve"> УЗК, НМВ</v>
      </c>
      <c r="G809" s="125">
        <f ca="1">IFERROR(__xludf.DUMMYFUNCTION("""COMPUTED_VALUE"""),0.4)</f>
        <v>0.4</v>
      </c>
      <c r="H809" s="125"/>
      <c r="I809" s="131">
        <f ca="1">IFERROR(__xludf.DUMMYFUNCTION("""COMPUTED_VALUE"""),240000)</f>
        <v>240000</v>
      </c>
    </row>
    <row r="810" spans="2:9" ht="15.75" x14ac:dyDescent="0.25">
      <c r="B810" s="123" t="str">
        <f ca="1">IFERROR(__xludf.DUMMYFUNCTION("""COMPUTED_VALUE"""),"круг")</f>
        <v>круг</v>
      </c>
      <c r="C810" s="133" t="str">
        <f ca="1">IFERROR(__xludf.DUMMYFUNCTION("""COMPUTED_VALUE"""),"38хм (ков)")</f>
        <v>38хм (ков)</v>
      </c>
      <c r="D810" s="124">
        <f ca="1">IFERROR(__xludf.DUMMYFUNCTION("""COMPUTED_VALUE"""),480)</f>
        <v>480</v>
      </c>
      <c r="E810" s="124"/>
      <c r="F810" s="112"/>
      <c r="G810" s="125">
        <f ca="1">IFERROR(__xludf.DUMMYFUNCTION("""COMPUTED_VALUE"""),5.46)</f>
        <v>5.46</v>
      </c>
      <c r="H810" s="125"/>
      <c r="I810" s="131">
        <f ca="1">IFERROR(__xludf.DUMMYFUNCTION("""COMPUTED_VALUE"""),240000)</f>
        <v>240000</v>
      </c>
    </row>
    <row r="811" spans="2:9" ht="15.75" x14ac:dyDescent="0.25">
      <c r="B811" s="123" t="str">
        <f ca="1">IFERROR(__xludf.DUMMYFUNCTION("""COMPUTED_VALUE"""),"круг")</f>
        <v>круг</v>
      </c>
      <c r="C811" s="133" t="str">
        <f ca="1">IFERROR(__xludf.DUMMYFUNCTION("""COMPUTED_VALUE"""),"38хм (ков)")</f>
        <v>38хм (ков)</v>
      </c>
      <c r="D811" s="124">
        <f ca="1">IFERROR(__xludf.DUMMYFUNCTION("""COMPUTED_VALUE"""),500)</f>
        <v>500</v>
      </c>
      <c r="E811" s="124"/>
      <c r="F811" s="112" t="str">
        <f ca="1">IFERROR(__xludf.DUMMYFUNCTION("""COMPUTED_VALUE""")," УЗК, НМВ")</f>
        <v xml:space="preserve"> УЗК, НМВ</v>
      </c>
      <c r="G811" s="125">
        <f ca="1">IFERROR(__xludf.DUMMYFUNCTION("""COMPUTED_VALUE"""),1.671)</f>
        <v>1.671</v>
      </c>
      <c r="H811" s="125"/>
      <c r="I811" s="131">
        <f ca="1">IFERROR(__xludf.DUMMYFUNCTION("""COMPUTED_VALUE"""),240000)</f>
        <v>240000</v>
      </c>
    </row>
    <row r="812" spans="2:9" ht="15.75" x14ac:dyDescent="0.25">
      <c r="B812" s="123" t="str">
        <f ca="1">IFERROR(__xludf.DUMMYFUNCTION("""COMPUTED_VALUE"""),"круг")</f>
        <v>круг</v>
      </c>
      <c r="C812" s="133" t="str">
        <f ca="1">IFERROR(__xludf.DUMMYFUNCTION("""COMPUTED_VALUE"""),"38хм (ков)")</f>
        <v>38хм (ков)</v>
      </c>
      <c r="D812" s="124">
        <f ca="1">IFERROR(__xludf.DUMMYFUNCTION("""COMPUTED_VALUE"""),500)</f>
        <v>500</v>
      </c>
      <c r="E812" s="124"/>
      <c r="F812" s="112" t="str">
        <f ca="1">IFERROR(__xludf.DUMMYFUNCTION("""COMPUTED_VALUE"""),"ТУ14-1-1530-75;  ОБТ;  ГОСТ 4543-16;  100% УЗК ")</f>
        <v xml:space="preserve">ТУ14-1-1530-75;  ОБТ;  ГОСТ 4543-16;  100% УЗК </v>
      </c>
      <c r="G812" s="125">
        <f ca="1">IFERROR(__xludf.DUMMYFUNCTION("""COMPUTED_VALUE"""),0.483)</f>
        <v>0.48299999999999998</v>
      </c>
      <c r="H812" s="125"/>
      <c r="I812" s="131">
        <f ca="1">IFERROR(__xludf.DUMMYFUNCTION("""COMPUTED_VALUE"""),240000)</f>
        <v>240000</v>
      </c>
    </row>
    <row r="813" spans="2:9" ht="15.75" x14ac:dyDescent="0.25">
      <c r="B813" s="123" t="str">
        <f ca="1">IFERROR(__xludf.DUMMYFUNCTION("""COMPUTED_VALUE"""),"круг")</f>
        <v>круг</v>
      </c>
      <c r="C813" s="133" t="str">
        <f ca="1">IFERROR(__xludf.DUMMYFUNCTION("""COMPUTED_VALUE"""),"38хм (ков)")</f>
        <v>38хм (ков)</v>
      </c>
      <c r="D813" s="124">
        <f ca="1">IFERROR(__xludf.DUMMYFUNCTION("""COMPUTED_VALUE"""),500)</f>
        <v>500</v>
      </c>
      <c r="E813" s="124"/>
      <c r="F813" s="112"/>
      <c r="G813" s="125">
        <f ca="1">IFERROR(__xludf.DUMMYFUNCTION("""COMPUTED_VALUE"""),4.843)</f>
        <v>4.843</v>
      </c>
      <c r="H813" s="125"/>
      <c r="I813" s="131">
        <f ca="1">IFERROR(__xludf.DUMMYFUNCTION("""COMPUTED_VALUE"""),240000)</f>
        <v>240000</v>
      </c>
    </row>
    <row r="814" spans="2:9" ht="15.75" x14ac:dyDescent="0.25">
      <c r="B814" s="123" t="str">
        <f ca="1">IFERROR(__xludf.DUMMYFUNCTION("""COMPUTED_VALUE"""),"круг")</f>
        <v>круг</v>
      </c>
      <c r="C814" s="133" t="str">
        <f ca="1">IFERROR(__xludf.DUMMYFUNCTION("""COMPUTED_VALUE"""),"38хм (ков)")</f>
        <v>38хм (ков)</v>
      </c>
      <c r="D814" s="124">
        <f ca="1">IFERROR(__xludf.DUMMYFUNCTION("""COMPUTED_VALUE"""),520)</f>
        <v>520</v>
      </c>
      <c r="E814" s="124"/>
      <c r="F814" s="112" t="str">
        <f ca="1">IFERROR(__xludf.DUMMYFUNCTION("""COMPUTED_VALUE""")," УЗК, НМВ")</f>
        <v xml:space="preserve"> УЗК, НМВ</v>
      </c>
      <c r="G814" s="125">
        <f ca="1">IFERROR(__xludf.DUMMYFUNCTION("""COMPUTED_VALUE"""),0.829999999999999)</f>
        <v>0.82999999999999896</v>
      </c>
      <c r="H814" s="125"/>
      <c r="I814" s="131">
        <f ca="1">IFERROR(__xludf.DUMMYFUNCTION("""COMPUTED_VALUE"""),240000)</f>
        <v>240000</v>
      </c>
    </row>
    <row r="815" spans="2:9" ht="15.75" x14ac:dyDescent="0.25">
      <c r="B815" s="123" t="str">
        <f ca="1">IFERROR(__xludf.DUMMYFUNCTION("""COMPUTED_VALUE"""),"круг")</f>
        <v>круг</v>
      </c>
      <c r="C815" s="133" t="str">
        <f ca="1">IFERROR(__xludf.DUMMYFUNCTION("""COMPUTED_VALUE"""),"38хм (ков)")</f>
        <v>38хм (ков)</v>
      </c>
      <c r="D815" s="124">
        <f ca="1">IFERROR(__xludf.DUMMYFUNCTION("""COMPUTED_VALUE"""),550)</f>
        <v>550</v>
      </c>
      <c r="E815" s="124"/>
      <c r="F815" s="112" t="str">
        <f ca="1">IFERROR(__xludf.DUMMYFUNCTION("""COMPUTED_VALUE""")," УЗК, НМВ")</f>
        <v xml:space="preserve"> УЗК, НМВ</v>
      </c>
      <c r="G815" s="125">
        <f ca="1">IFERROR(__xludf.DUMMYFUNCTION("""COMPUTED_VALUE"""),0.256999999999999)</f>
        <v>0.25699999999999901</v>
      </c>
      <c r="H815" s="125"/>
      <c r="I815" s="131">
        <f ca="1">IFERROR(__xludf.DUMMYFUNCTION("""COMPUTED_VALUE"""),210000)</f>
        <v>210000</v>
      </c>
    </row>
    <row r="816" spans="2:9" ht="15.75" x14ac:dyDescent="0.25">
      <c r="B816" s="123" t="str">
        <f ca="1">IFERROR(__xludf.DUMMYFUNCTION("""COMPUTED_VALUE"""),"круг")</f>
        <v>круг</v>
      </c>
      <c r="C816" s="133" t="str">
        <f ca="1">IFERROR(__xludf.DUMMYFUNCTION("""COMPUTED_VALUE"""),"38хм (ков)")</f>
        <v>38хм (ков)</v>
      </c>
      <c r="D816" s="124">
        <f ca="1">IFERROR(__xludf.DUMMYFUNCTION("""COMPUTED_VALUE"""),550)</f>
        <v>550</v>
      </c>
      <c r="E816" s="124"/>
      <c r="F816" s="112"/>
      <c r="G816" s="125">
        <f ca="1">IFERROR(__xludf.DUMMYFUNCTION("""COMPUTED_VALUE"""),5.114)</f>
        <v>5.1139999999999999</v>
      </c>
      <c r="H816" s="125"/>
      <c r="I816" s="131">
        <f ca="1">IFERROR(__xludf.DUMMYFUNCTION("""COMPUTED_VALUE"""),240000)</f>
        <v>240000</v>
      </c>
    </row>
    <row r="817" spans="2:9" ht="15.75" x14ac:dyDescent="0.25">
      <c r="B817" s="123" t="str">
        <f ca="1">IFERROR(__xludf.DUMMYFUNCTION("""COMPUTED_VALUE"""),"круг")</f>
        <v>круг</v>
      </c>
      <c r="C817" s="133" t="str">
        <f ca="1">IFERROR(__xludf.DUMMYFUNCTION("""COMPUTED_VALUE"""),"38хм (ков)")</f>
        <v>38хм (ков)</v>
      </c>
      <c r="D817" s="124">
        <f ca="1">IFERROR(__xludf.DUMMYFUNCTION("""COMPUTED_VALUE"""),600)</f>
        <v>600</v>
      </c>
      <c r="E817" s="124"/>
      <c r="F817" s="112"/>
      <c r="G817" s="125">
        <f ca="1">IFERROR(__xludf.DUMMYFUNCTION("""COMPUTED_VALUE"""),3.675)</f>
        <v>3.6749999999999998</v>
      </c>
      <c r="H817" s="125"/>
      <c r="I817" s="131">
        <f ca="1">IFERROR(__xludf.DUMMYFUNCTION("""COMPUTED_VALUE"""),240000)</f>
        <v>240000</v>
      </c>
    </row>
    <row r="818" spans="2:9" ht="15.75" x14ac:dyDescent="0.25">
      <c r="B818" s="123" t="str">
        <f ca="1">IFERROR(__xludf.DUMMYFUNCTION("""COMPUTED_VALUE"""),"круг")</f>
        <v>круг</v>
      </c>
      <c r="C818" s="133" t="str">
        <f ca="1">IFERROR(__xludf.DUMMYFUNCTION("""COMPUTED_VALUE"""),"38хм (ков)")</f>
        <v>38хм (ков)</v>
      </c>
      <c r="D818" s="124">
        <f ca="1">IFERROR(__xludf.DUMMYFUNCTION("""COMPUTED_VALUE"""),650)</f>
        <v>650</v>
      </c>
      <c r="E818" s="124"/>
      <c r="F818" s="112"/>
      <c r="G818" s="125">
        <f ca="1">IFERROR(__xludf.DUMMYFUNCTION("""COMPUTED_VALUE"""),4.217)</f>
        <v>4.2169999999999996</v>
      </c>
      <c r="H818" s="125"/>
      <c r="I818" s="131">
        <f ca="1">IFERROR(__xludf.DUMMYFUNCTION("""COMPUTED_VALUE"""),240000)</f>
        <v>240000</v>
      </c>
    </row>
    <row r="819" spans="2:9" ht="15.75" x14ac:dyDescent="0.25">
      <c r="B819" s="123" t="str">
        <f ca="1">IFERROR(__xludf.DUMMYFUNCTION("""COMPUTED_VALUE"""),"круг")</f>
        <v>круг</v>
      </c>
      <c r="C819" s="133" t="str">
        <f ca="1">IFERROR(__xludf.DUMMYFUNCTION("""COMPUTED_VALUE"""),"38хм (ков)")</f>
        <v>38хм (ков)</v>
      </c>
      <c r="D819" s="124">
        <f ca="1">IFERROR(__xludf.DUMMYFUNCTION("""COMPUTED_VALUE"""),680)</f>
        <v>680</v>
      </c>
      <c r="E819" s="124"/>
      <c r="F819" s="112"/>
      <c r="G819" s="125">
        <f ca="1">IFERROR(__xludf.DUMMYFUNCTION("""COMPUTED_VALUE"""),0.064)</f>
        <v>6.4000000000000001E-2</v>
      </c>
      <c r="H819" s="125"/>
      <c r="I819" s="131">
        <f ca="1">IFERROR(__xludf.DUMMYFUNCTION("""COMPUTED_VALUE"""),240000)</f>
        <v>240000</v>
      </c>
    </row>
    <row r="820" spans="2:9" ht="15.75" x14ac:dyDescent="0.25">
      <c r="B820" s="123" t="str">
        <f ca="1">IFERROR(__xludf.DUMMYFUNCTION("""COMPUTED_VALUE"""),"круг")</f>
        <v>круг</v>
      </c>
      <c r="C820" s="133" t="str">
        <f ca="1">IFERROR(__xludf.DUMMYFUNCTION("""COMPUTED_VALUE"""),"38хм (ков)")</f>
        <v>38хм (ков)</v>
      </c>
      <c r="D820" s="124">
        <f ca="1">IFERROR(__xludf.DUMMYFUNCTION("""COMPUTED_VALUE"""),700)</f>
        <v>700</v>
      </c>
      <c r="E820" s="124"/>
      <c r="F820" s="112"/>
      <c r="G820" s="125">
        <f ca="1">IFERROR(__xludf.DUMMYFUNCTION("""COMPUTED_VALUE"""),1.641)</f>
        <v>1.641</v>
      </c>
      <c r="H820" s="125"/>
      <c r="I820" s="131">
        <f ca="1">IFERROR(__xludf.DUMMYFUNCTION("""COMPUTED_VALUE"""),240000)</f>
        <v>240000</v>
      </c>
    </row>
    <row r="821" spans="2:9" ht="15.75" x14ac:dyDescent="0.25">
      <c r="B821" s="123" t="str">
        <f ca="1">IFERROR(__xludf.DUMMYFUNCTION("""COMPUTED_VALUE"""),"круг")</f>
        <v>круг</v>
      </c>
      <c r="C821" s="133" t="str">
        <f ca="1">IFERROR(__xludf.DUMMYFUNCTION("""COMPUTED_VALUE"""),"38хм (ков)")</f>
        <v>38хм (ков)</v>
      </c>
      <c r="D821" s="124">
        <f ca="1">IFERROR(__xludf.DUMMYFUNCTION("""COMPUTED_VALUE"""),700)</f>
        <v>700</v>
      </c>
      <c r="E821" s="124"/>
      <c r="F821" s="112"/>
      <c r="G821" s="125">
        <f ca="1">IFERROR(__xludf.DUMMYFUNCTION("""COMPUTED_VALUE"""),6.69)</f>
        <v>6.69</v>
      </c>
      <c r="H821" s="125"/>
      <c r="I821" s="131">
        <f ca="1">IFERROR(__xludf.DUMMYFUNCTION("""COMPUTED_VALUE"""),240000)</f>
        <v>240000</v>
      </c>
    </row>
    <row r="822" spans="2:9" ht="15.75" x14ac:dyDescent="0.25">
      <c r="B822" s="123" t="str">
        <f ca="1">IFERROR(__xludf.DUMMYFUNCTION("""COMPUTED_VALUE"""),"круг")</f>
        <v>круг</v>
      </c>
      <c r="C822" s="133" t="str">
        <f ca="1">IFERROR(__xludf.DUMMYFUNCTION("""COMPUTED_VALUE"""),"38хм (ков)")</f>
        <v>38хм (ков)</v>
      </c>
      <c r="D822" s="124">
        <f ca="1">IFERROR(__xludf.DUMMYFUNCTION("""COMPUTED_VALUE"""),750)</f>
        <v>750</v>
      </c>
      <c r="E822" s="124"/>
      <c r="F822" s="112"/>
      <c r="G822" s="125">
        <f ca="1">IFERROR(__xludf.DUMMYFUNCTION("""COMPUTED_VALUE"""),4.53799999999999)</f>
        <v>4.5379999999999896</v>
      </c>
      <c r="H822" s="125"/>
      <c r="I822" s="131">
        <f ca="1">IFERROR(__xludf.DUMMYFUNCTION("""COMPUTED_VALUE"""),240000)</f>
        <v>240000</v>
      </c>
    </row>
  </sheetData>
  <autoFilter ref="B3:I3" xr:uid="{00000000-0009-0000-0000-000001000000}"/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СКЛАД 1</vt:lpstr>
      <vt:lpstr>СКЛАД 2</vt:lpstr>
      <vt:lpstr>'СКЛАД 1'!Область_печати</vt:lpstr>
    </vt:vector>
  </TitlesOfParts>
  <Company>Тех Групп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lastModifiedBy>Grigorii</cp:lastModifiedBy>
  <cp:lastPrinted>2024-08-12T13:46:33Z</cp:lastPrinted>
  <dcterms:created xsi:type="dcterms:W3CDTF">2013-05-20T06:14:13Z</dcterms:created>
  <dcterms:modified xsi:type="dcterms:W3CDTF">2026-05-27T18:05:33Z</dcterms:modified>
</cp:coreProperties>
</file>